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WT 350" sheetId="1" r:id="rId1"/>
    <sheet name="W 350" sheetId="2" r:id="rId2"/>
  </sheets>
  <definedNames/>
  <calcPr fullCalcOnLoad="1"/>
</workbook>
</file>

<file path=xl/sharedStrings.xml><?xml version="1.0" encoding="utf-8"?>
<sst xmlns="http://schemas.openxmlformats.org/spreadsheetml/2006/main" count="354" uniqueCount="71">
  <si>
    <t>=</t>
  </si>
  <si>
    <t>Temperature (T)</t>
  </si>
  <si>
    <t>Mpa. Sqrt(m)</t>
  </si>
  <si>
    <t xml:space="preserve">For -140 &lt; T &lt; 150 </t>
  </si>
  <si>
    <t>mm</t>
  </si>
  <si>
    <r>
      <t>Fracture Toughness ( k</t>
    </r>
    <r>
      <rPr>
        <i/>
        <vertAlign val="subscript"/>
        <sz val="11"/>
        <color indexed="8"/>
        <rFont val="Arial"/>
        <family val="2"/>
      </rPr>
      <t>1c</t>
    </r>
    <r>
      <rPr>
        <i/>
        <sz val="11"/>
        <color indexed="8"/>
        <rFont val="Arial"/>
        <family val="2"/>
      </rPr>
      <t>)</t>
    </r>
  </si>
  <si>
    <r>
      <rPr>
        <i/>
        <vertAlign val="superscript"/>
        <sz val="11"/>
        <color indexed="8"/>
        <rFont val="Arial"/>
        <family val="2"/>
      </rPr>
      <t>o</t>
    </r>
    <r>
      <rPr>
        <i/>
        <sz val="11"/>
        <color indexed="8"/>
        <rFont val="Arial"/>
        <family val="2"/>
      </rPr>
      <t>C</t>
    </r>
  </si>
  <si>
    <t xml:space="preserve">Length of Crack ( a ) </t>
  </si>
  <si>
    <t>Both side of Hole</t>
  </si>
  <si>
    <t>Where,</t>
  </si>
  <si>
    <t>d =</t>
  </si>
  <si>
    <r>
      <t>0.5 x (3 - d) [ 1 + 1.243 x (1 - d)</t>
    </r>
    <r>
      <rPr>
        <i/>
        <vertAlign val="superscript"/>
        <sz val="11"/>
        <color indexed="8"/>
        <rFont val="Arial"/>
        <family val="2"/>
      </rPr>
      <t xml:space="preserve">3 </t>
    </r>
    <r>
      <rPr>
        <i/>
        <sz val="11"/>
        <color indexed="8"/>
        <rFont val="Arial"/>
        <family val="2"/>
      </rPr>
      <t>]</t>
    </r>
  </si>
  <si>
    <r>
      <t>Diameter of Hole ( D</t>
    </r>
    <r>
      <rPr>
        <i/>
        <vertAlign val="subscript"/>
        <sz val="11"/>
        <color indexed="8"/>
        <rFont val="Arial"/>
        <family val="2"/>
      </rPr>
      <t>h</t>
    </r>
    <r>
      <rPr>
        <i/>
        <sz val="11"/>
        <color indexed="8"/>
        <rFont val="Arial"/>
        <family val="2"/>
      </rPr>
      <t>)</t>
    </r>
  </si>
  <si>
    <r>
      <t>Distance from centre of hole to edge of crack = (D</t>
    </r>
    <r>
      <rPr>
        <i/>
        <vertAlign val="subscript"/>
        <sz val="11"/>
        <color indexed="8"/>
        <rFont val="Arial"/>
        <family val="2"/>
      </rPr>
      <t>h</t>
    </r>
    <r>
      <rPr>
        <i/>
        <sz val="11"/>
        <color indexed="8"/>
        <rFont val="Arial"/>
        <family val="2"/>
      </rPr>
      <t xml:space="preserve"> / 2  + a) =</t>
    </r>
  </si>
  <si>
    <t>s</t>
  </si>
  <si>
    <t>Load (P)</t>
  </si>
  <si>
    <t>Area</t>
  </si>
  <si>
    <t>Area of Cross Section</t>
  </si>
  <si>
    <r>
      <t>mm</t>
    </r>
    <r>
      <rPr>
        <i/>
        <vertAlign val="superscript"/>
        <sz val="11"/>
        <color indexed="8"/>
        <rFont val="Arial"/>
        <family val="2"/>
      </rPr>
      <t>2</t>
    </r>
  </si>
  <si>
    <t>P</t>
  </si>
  <si>
    <r>
      <rPr>
        <i/>
        <sz val="11"/>
        <color indexed="8"/>
        <rFont val="Arial"/>
        <family val="2"/>
      </rPr>
      <t>F</t>
    </r>
    <r>
      <rPr>
        <i/>
        <vertAlign val="subscript"/>
        <sz val="11"/>
        <color indexed="8"/>
        <rFont val="Calibri"/>
        <family val="2"/>
      </rPr>
      <t>d</t>
    </r>
    <r>
      <rPr>
        <i/>
        <sz val="11"/>
        <color indexed="8"/>
        <rFont val="Calibri"/>
        <family val="2"/>
      </rPr>
      <t xml:space="preserve"> . </t>
    </r>
    <r>
      <rPr>
        <i/>
        <sz val="11"/>
        <color indexed="8"/>
        <rFont val="Symbol"/>
        <family val="1"/>
      </rPr>
      <t>s</t>
    </r>
    <r>
      <rPr>
        <i/>
        <sz val="11"/>
        <color indexed="8"/>
        <rFont val="Calibri"/>
        <family val="2"/>
      </rPr>
      <t xml:space="preserve">. </t>
    </r>
    <r>
      <rPr>
        <i/>
        <sz val="11"/>
        <color indexed="8"/>
        <rFont val="Arial"/>
        <family val="2"/>
      </rPr>
      <t>Sqrt</t>
    </r>
    <r>
      <rPr>
        <i/>
        <sz val="11"/>
        <color indexed="8"/>
        <rFont val="Calibri"/>
        <family val="2"/>
      </rPr>
      <t>(</t>
    </r>
    <r>
      <rPr>
        <i/>
        <sz val="11"/>
        <color indexed="8"/>
        <rFont val="Symbol"/>
        <family val="1"/>
      </rPr>
      <t xml:space="preserve"> p</t>
    </r>
    <r>
      <rPr>
        <i/>
        <sz val="11"/>
        <color indexed="8"/>
        <rFont val="Calibri"/>
        <family val="2"/>
      </rPr>
      <t>.</t>
    </r>
    <r>
      <rPr>
        <i/>
        <sz val="11"/>
        <color indexed="8"/>
        <rFont val="Arial"/>
        <family val="2"/>
      </rPr>
      <t xml:space="preserve"> a</t>
    </r>
    <r>
      <rPr>
        <i/>
        <sz val="11"/>
        <color indexed="8"/>
        <rFont val="Calibri"/>
        <family val="2"/>
      </rPr>
      <t>)</t>
    </r>
  </si>
  <si>
    <r>
      <rPr>
        <b/>
        <i/>
        <sz val="11"/>
        <color indexed="8"/>
        <rFont val="Arial"/>
        <family val="2"/>
      </rPr>
      <t>F</t>
    </r>
    <r>
      <rPr>
        <b/>
        <i/>
        <vertAlign val="subscript"/>
        <sz val="11"/>
        <color indexed="8"/>
        <rFont val="Calibri"/>
        <family val="2"/>
      </rPr>
      <t>d</t>
    </r>
    <r>
      <rPr>
        <b/>
        <i/>
        <sz val="11"/>
        <color indexed="8"/>
        <rFont val="Calibri"/>
        <family val="2"/>
      </rPr>
      <t xml:space="preserve"> . </t>
    </r>
    <r>
      <rPr>
        <b/>
        <i/>
        <sz val="11"/>
        <color indexed="8"/>
        <rFont val="Symbol"/>
        <family val="1"/>
      </rPr>
      <t>s</t>
    </r>
    <r>
      <rPr>
        <b/>
        <i/>
        <sz val="11"/>
        <color indexed="8"/>
        <rFont val="Calibri"/>
        <family val="2"/>
      </rPr>
      <t xml:space="preserve">. </t>
    </r>
    <r>
      <rPr>
        <b/>
        <i/>
        <sz val="11"/>
        <color indexed="8"/>
        <rFont val="Arial"/>
        <family val="2"/>
      </rPr>
      <t>Sqrt</t>
    </r>
    <r>
      <rPr>
        <b/>
        <i/>
        <sz val="11"/>
        <color indexed="8"/>
        <rFont val="Calibri"/>
        <family val="2"/>
      </rPr>
      <t>(</t>
    </r>
    <r>
      <rPr>
        <b/>
        <i/>
        <sz val="11"/>
        <color indexed="8"/>
        <rFont val="Symbol"/>
        <family val="1"/>
      </rPr>
      <t xml:space="preserve"> p</t>
    </r>
    <r>
      <rPr>
        <b/>
        <i/>
        <sz val="11"/>
        <color indexed="8"/>
        <rFont val="Calibri"/>
        <family val="2"/>
      </rPr>
      <t>.</t>
    </r>
    <r>
      <rPr>
        <b/>
        <i/>
        <sz val="11"/>
        <color indexed="8"/>
        <rFont val="Arial"/>
        <family val="2"/>
      </rPr>
      <t xml:space="preserve"> a</t>
    </r>
    <r>
      <rPr>
        <b/>
        <i/>
        <sz val="11"/>
        <color indexed="8"/>
        <rFont val="Calibri"/>
        <family val="2"/>
      </rPr>
      <t>)</t>
    </r>
  </si>
  <si>
    <t>Load ( P)</t>
  </si>
  <si>
    <t>kN</t>
  </si>
  <si>
    <t>By Yeild Theory</t>
  </si>
  <si>
    <t>Yeild Strength of Plate</t>
  </si>
  <si>
    <t>MPa</t>
  </si>
  <si>
    <t>Check For Geometry</t>
  </si>
  <si>
    <t>Radius of Circular Section (R)</t>
  </si>
  <si>
    <t>Thickness of Lug (t)</t>
  </si>
  <si>
    <t>Distance from centre of hole to Welding (h)=</t>
  </si>
  <si>
    <t>Width of Lug (W)</t>
  </si>
  <si>
    <r>
      <t>Diameter of Pin ( D</t>
    </r>
    <r>
      <rPr>
        <i/>
        <vertAlign val="subscript"/>
        <sz val="11"/>
        <color indexed="8"/>
        <rFont val="Arial"/>
        <family val="2"/>
      </rPr>
      <t>p</t>
    </r>
    <r>
      <rPr>
        <i/>
        <sz val="11"/>
        <color indexed="8"/>
        <rFont val="Arial"/>
        <family val="2"/>
      </rPr>
      <t>)</t>
    </r>
  </si>
  <si>
    <t>Effective width of plate</t>
  </si>
  <si>
    <t>Tensile Load capacity</t>
  </si>
  <si>
    <t>(60 + 0.2 T)</t>
  </si>
  <si>
    <t>By Fracture Theory</t>
  </si>
  <si>
    <r>
      <t xml:space="preserve">Temperature (T) </t>
    </r>
    <r>
      <rPr>
        <i/>
        <vertAlign val="superscript"/>
        <sz val="10"/>
        <color indexed="8"/>
        <rFont val="Arial"/>
        <family val="2"/>
      </rPr>
      <t>o</t>
    </r>
    <r>
      <rPr>
        <i/>
        <sz val="10"/>
        <color indexed="8"/>
        <rFont val="Arial"/>
        <family val="2"/>
      </rPr>
      <t>C</t>
    </r>
  </si>
  <si>
    <t xml:space="preserve">Length of Crack ( a ) (mm) </t>
  </si>
  <si>
    <r>
      <t>Fracture Toughness ( k</t>
    </r>
    <r>
      <rPr>
        <i/>
        <vertAlign val="subscript"/>
        <sz val="10"/>
        <color indexed="8"/>
        <rFont val="Arial"/>
        <family val="2"/>
      </rPr>
      <t>1c</t>
    </r>
    <r>
      <rPr>
        <i/>
        <sz val="10"/>
        <color indexed="8"/>
        <rFont val="Arial"/>
        <family val="2"/>
      </rPr>
      <t>)</t>
    </r>
  </si>
  <si>
    <t>Fracture Theory</t>
  </si>
  <si>
    <t>Yeild Theory</t>
  </si>
  <si>
    <t>Effective width of Plate (mm)</t>
  </si>
  <si>
    <r>
      <t>K</t>
    </r>
    <r>
      <rPr>
        <b/>
        <i/>
        <vertAlign val="subscript"/>
        <sz val="11"/>
        <color indexed="8"/>
        <rFont val="Arial"/>
        <family val="2"/>
      </rPr>
      <t>1c</t>
    </r>
    <r>
      <rPr>
        <b/>
        <i/>
        <sz val="11"/>
        <color indexed="8"/>
        <rFont val="Arial"/>
        <family val="2"/>
      </rPr>
      <t xml:space="preserve"> </t>
    </r>
  </si>
  <si>
    <r>
      <t>1</t>
    </r>
    <r>
      <rPr>
        <b/>
        <i/>
        <sz val="7"/>
        <color indexed="8"/>
        <rFont val="Times New Roman"/>
        <family val="1"/>
      </rPr>
      <t xml:space="preserve">              </t>
    </r>
    <r>
      <rPr>
        <b/>
        <i/>
        <sz val="13"/>
        <color indexed="8"/>
        <rFont val="Arial"/>
        <family val="2"/>
      </rPr>
      <t>Lifting Lug Load Capacity Vs Crack length Calculation</t>
    </r>
  </si>
  <si>
    <r>
      <t>K</t>
    </r>
    <r>
      <rPr>
        <i/>
        <vertAlign val="subscript"/>
        <sz val="11"/>
        <color indexed="8"/>
        <rFont val="Arial"/>
        <family val="2"/>
      </rPr>
      <t>1c</t>
    </r>
    <r>
      <rPr>
        <i/>
        <sz val="11"/>
        <color indexed="8"/>
        <rFont val="Arial"/>
        <family val="2"/>
      </rPr>
      <t xml:space="preserve"> </t>
    </r>
  </si>
  <si>
    <r>
      <t>We =R- D</t>
    </r>
    <r>
      <rPr>
        <i/>
        <vertAlign val="subscript"/>
        <sz val="11"/>
        <color indexed="8"/>
        <rFont val="Arial"/>
        <family val="2"/>
      </rPr>
      <t>h</t>
    </r>
    <r>
      <rPr>
        <i/>
        <sz val="11"/>
        <color indexed="8"/>
        <rFont val="Arial"/>
        <family val="2"/>
      </rPr>
      <t>/2</t>
    </r>
  </si>
  <si>
    <r>
      <t>F</t>
    </r>
    <r>
      <rPr>
        <i/>
        <vertAlign val="subscript"/>
        <sz val="11"/>
        <color indexed="8"/>
        <rFont val="Arial"/>
        <family val="2"/>
      </rPr>
      <t>d</t>
    </r>
  </si>
  <si>
    <r>
      <t>a / (D</t>
    </r>
    <r>
      <rPr>
        <i/>
        <vertAlign val="subscript"/>
        <sz val="11"/>
        <color indexed="8"/>
        <rFont val="Arial"/>
        <family val="2"/>
      </rPr>
      <t xml:space="preserve">h </t>
    </r>
    <r>
      <rPr>
        <i/>
        <sz val="11"/>
        <color indexed="8"/>
        <rFont val="Arial"/>
        <family val="2"/>
      </rPr>
      <t>/ 2 + a)</t>
    </r>
  </si>
  <si>
    <r>
      <t>d = a / (D</t>
    </r>
    <r>
      <rPr>
        <i/>
        <vertAlign val="subscript"/>
        <sz val="10"/>
        <color indexed="8"/>
        <rFont val="Arial"/>
        <family val="2"/>
      </rPr>
      <t xml:space="preserve">h </t>
    </r>
    <r>
      <rPr>
        <i/>
        <sz val="10"/>
        <color indexed="8"/>
        <rFont val="Arial"/>
        <family val="2"/>
      </rPr>
      <t>/ 2 + a)</t>
    </r>
  </si>
  <si>
    <t>Stress in the Net Section</t>
  </si>
  <si>
    <t>Yeild Stress (s)</t>
  </si>
  <si>
    <r>
      <t>(D</t>
    </r>
    <r>
      <rPr>
        <i/>
        <vertAlign val="subscript"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 xml:space="preserve"> / 2  + a)</t>
    </r>
  </si>
  <si>
    <r>
      <t>F</t>
    </r>
    <r>
      <rPr>
        <i/>
        <vertAlign val="subscript"/>
        <sz val="10"/>
        <color indexed="8"/>
        <rFont val="Arial"/>
        <family val="2"/>
      </rPr>
      <t>d</t>
    </r>
  </si>
  <si>
    <t>Crack Lenth (a) Vs Tensile Load (P)</t>
  </si>
  <si>
    <t>Temp = 30 Degree Celcius</t>
  </si>
  <si>
    <t>Temp = 15 Degree Celcius</t>
  </si>
  <si>
    <t>Temp = Zero Degree Celcius</t>
  </si>
  <si>
    <t>Temp = -15 Degree Celcius</t>
  </si>
  <si>
    <t>Temp = -30 Degree Celcius</t>
  </si>
  <si>
    <t>Temp = -45 Degree Celcius</t>
  </si>
  <si>
    <t>Sample Calculation</t>
  </si>
  <si>
    <r>
      <t xml:space="preserve">Load (P) (kN) - </t>
    </r>
    <r>
      <rPr>
        <b/>
        <i/>
        <sz val="10"/>
        <color indexed="8"/>
        <rFont val="Arial"/>
        <family val="2"/>
      </rPr>
      <t>Fracture Theory</t>
    </r>
  </si>
  <si>
    <r>
      <t>Load (P) (kN) -</t>
    </r>
    <r>
      <rPr>
        <b/>
        <i/>
        <sz val="10"/>
        <color indexed="8"/>
        <rFont val="Arial"/>
        <family val="2"/>
      </rPr>
      <t>Yeild Theory</t>
    </r>
  </si>
  <si>
    <t>(60 for Steel WT Caterary 4)</t>
  </si>
  <si>
    <r>
      <t>(D</t>
    </r>
    <r>
      <rPr>
        <i/>
        <vertAlign val="subscript"/>
        <sz val="10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 xml:space="preserve"> / 2  + a)</t>
    </r>
  </si>
  <si>
    <r>
      <t>Fracture Toughness ( k</t>
    </r>
    <r>
      <rPr>
        <i/>
        <vertAlign val="subscript"/>
        <sz val="10"/>
        <color indexed="8"/>
        <rFont val="Arial"/>
        <family val="2"/>
      </rPr>
      <t>1c</t>
    </r>
    <r>
      <rPr>
        <i/>
        <sz val="10"/>
        <color indexed="8"/>
        <rFont val="Arial"/>
        <family val="2"/>
      </rPr>
      <t>)</t>
    </r>
  </si>
  <si>
    <r>
      <t>d = a / (D</t>
    </r>
    <r>
      <rPr>
        <i/>
        <vertAlign val="subscript"/>
        <sz val="10"/>
        <color indexed="8"/>
        <rFont val="Arial"/>
        <family val="2"/>
      </rPr>
      <t xml:space="preserve">h </t>
    </r>
    <r>
      <rPr>
        <i/>
        <sz val="10"/>
        <color indexed="8"/>
        <rFont val="Arial"/>
        <family val="2"/>
      </rPr>
      <t>/ 2 + a)</t>
    </r>
  </si>
  <si>
    <t>(40 for Steel W 350)</t>
  </si>
  <si>
    <t>(40 + 0.2 T)</t>
  </si>
  <si>
    <t>Kawish Shaikh P.Eng. UofC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</si>
</sst>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E+00"/>
    <numFmt numFmtId="178" formatCode="0.00_)"/>
    <numFmt numFmtId="179" formatCode="0.000_)"/>
    <numFmt numFmtId="180" formatCode="#,##0.0_);\(#,##0.0\)"/>
    <numFmt numFmtId="181" formatCode="0.0E+00"/>
    <numFmt numFmtId="182" formatCode="#\ ?/8"/>
    <numFmt numFmtId="183" formatCode="&quot;$&quot;#,##0\ ;\(&quot;$&quot;#,##0\)"/>
    <numFmt numFmtId="184" formatCode="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General_)"/>
    <numFmt numFmtId="190" formatCode="[$-409]mmmm\ d\,\ yyyy;@"/>
    <numFmt numFmtId="191" formatCode="0.0_)"/>
    <numFmt numFmtId="192" formatCode="0_)"/>
  </numFmts>
  <fonts count="54">
    <font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u val="single"/>
      <sz val="12"/>
      <color indexed="12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i/>
      <sz val="13"/>
      <color indexed="8"/>
      <name val="Arial"/>
      <family val="2"/>
    </font>
    <font>
      <i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  <font>
      <i/>
      <sz val="11"/>
      <color indexed="8"/>
      <name val="Calibri"/>
      <family val="2"/>
    </font>
    <font>
      <i/>
      <vertAlign val="superscript"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vertAlign val="subscript"/>
      <sz val="11"/>
      <color indexed="8"/>
      <name val="Calibri"/>
      <family val="2"/>
    </font>
    <font>
      <i/>
      <sz val="11"/>
      <color indexed="8"/>
      <name val="Symbol"/>
      <family val="1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i/>
      <sz val="11"/>
      <color indexed="8"/>
      <name val="Symbol"/>
      <family val="1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b/>
      <i/>
      <vertAlign val="subscript"/>
      <sz val="11"/>
      <color indexed="8"/>
      <name val="Arial"/>
      <family val="2"/>
    </font>
    <font>
      <b/>
      <i/>
      <sz val="7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8"/>
      <color indexed="12"/>
      <name val="Arial"/>
      <family val="0"/>
    </font>
    <font>
      <sz val="5"/>
      <color indexed="12"/>
      <name val="Arial"/>
      <family val="0"/>
    </font>
    <font>
      <sz val="8"/>
      <name val="Calibri"/>
      <family val="2"/>
    </font>
    <font>
      <b/>
      <i/>
      <sz val="11"/>
      <color indexed="14"/>
      <name val="Arial"/>
      <family val="2"/>
    </font>
    <font>
      <b/>
      <i/>
      <sz val="11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" fillId="0" borderId="10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25" borderId="0" xfId="0" applyFont="1" applyFill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indent="8"/>
    </xf>
    <xf numFmtId="0" fontId="10" fillId="0" borderId="12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wrapText="1" shrinkToFi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24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24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8" fillId="24" borderId="24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45" fillId="0" borderId="0" xfId="0" applyFont="1" applyAlignment="1">
      <alignment/>
    </xf>
    <xf numFmtId="1" fontId="18" fillId="0" borderId="18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23" fillId="0" borderId="15" xfId="0" applyNumberFormat="1" applyFont="1" applyBorder="1" applyAlignment="1">
      <alignment horizontal="center" wrapText="1"/>
    </xf>
    <xf numFmtId="1" fontId="18" fillId="0" borderId="15" xfId="0" applyNumberFormat="1" applyFont="1" applyBorder="1" applyAlignment="1">
      <alignment horizontal="center" wrapText="1"/>
    </xf>
    <xf numFmtId="1" fontId="18" fillId="0" borderId="15" xfId="0" applyNumberFormat="1" applyFont="1" applyBorder="1" applyAlignment="1">
      <alignment wrapText="1"/>
    </xf>
    <xf numFmtId="1" fontId="18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0" fontId="52" fillId="0" borderId="0" xfId="0" applyFont="1" applyAlignment="1">
      <alignment/>
    </xf>
    <xf numFmtId="0" fontId="12" fillId="0" borderId="0" xfId="0" applyFont="1" applyAlignment="1">
      <alignment horizontal="left" indent="8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1" fontId="8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8" fillId="25" borderId="0" xfId="0" applyFont="1" applyFill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0" xfId="0" applyFont="1" applyFill="1" applyAlignment="1">
      <alignment horizontal="left"/>
    </xf>
    <xf numFmtId="1" fontId="12" fillId="0" borderId="15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1" fontId="23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1" fontId="18" fillId="0" borderId="15" xfId="0" applyNumberFormat="1" applyFont="1" applyBorder="1" applyAlignment="1">
      <alignment horizontal="center" wrapText="1"/>
    </xf>
    <xf numFmtId="1" fontId="18" fillId="0" borderId="15" xfId="0" applyNumberFormat="1" applyFont="1" applyBorder="1" applyAlignment="1">
      <alignment wrapText="1"/>
    </xf>
    <xf numFmtId="0" fontId="18" fillId="0" borderId="15" xfId="0" applyFont="1" applyBorder="1" applyAlignment="1">
      <alignment wrapText="1" shrinkToFit="1"/>
    </xf>
    <xf numFmtId="0" fontId="18" fillId="0" borderId="15" xfId="0" applyFont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24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24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8" fillId="24" borderId="24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1" fontId="18" fillId="0" borderId="0" xfId="0" applyNumberFormat="1" applyFont="1" applyAlignment="1">
      <alignment horizontal="center"/>
    </xf>
    <xf numFmtId="1" fontId="23" fillId="0" borderId="11" xfId="0" applyNumberFormat="1" applyFont="1" applyBorder="1" applyAlignment="1">
      <alignment horizontal="center" wrapText="1"/>
    </xf>
    <xf numFmtId="1" fontId="23" fillId="0" borderId="12" xfId="0" applyNumberFormat="1" applyFont="1" applyBorder="1" applyAlignment="1">
      <alignment horizontal="center" wrapText="1"/>
    </xf>
    <xf numFmtId="1" fontId="23" fillId="0" borderId="11" xfId="0" applyNumberFormat="1" applyFont="1" applyBorder="1" applyAlignment="1">
      <alignment horizontal="center" wrapText="1"/>
    </xf>
    <xf numFmtId="1" fontId="23" fillId="0" borderId="12" xfId="0" applyNumberFormat="1" applyFont="1" applyBorder="1" applyAlignment="1">
      <alignment horizontal="center" wrapText="1"/>
    </xf>
    <xf numFmtId="1" fontId="53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ixed1 - Style1" xfId="51"/>
    <cellStyle name="Followed Hyperlink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Total 2" xfId="71"/>
    <cellStyle name="Warning Text" xfId="72"/>
  </cellStyles>
  <dxfs count="61"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30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"/>
          <c:w val="0.53875"/>
          <c:h val="0.883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'WT 350'!$G$47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350'!$A$48:$A$60</c:f>
              <c:numCache/>
            </c:numRef>
          </c:xVal>
          <c:yVal>
            <c:numRef>
              <c:f>'WT 350'!$G$48:$G$60</c:f>
              <c:numCache/>
            </c:numRef>
          </c:yVal>
          <c:smooth val="1"/>
        </c:ser>
        <c:ser>
          <c:idx val="8"/>
          <c:order val="1"/>
          <c:tx>
            <c:strRef>
              <c:f>'WT 350'!$J$47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350'!$A$48:$A$60</c:f>
              <c:numCache/>
            </c:numRef>
          </c:xVal>
          <c:yVal>
            <c:numRef>
              <c:f>'WT 350'!$J$48:$J$60</c:f>
              <c:numCache/>
            </c:numRef>
          </c:yVal>
          <c:smooth val="1"/>
        </c:ser>
        <c:axId val="53159768"/>
        <c:axId val="8675865"/>
      </c:scatterChart>
      <c:val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675865"/>
        <c:crosses val="autoZero"/>
        <c:crossBetween val="midCat"/>
        <c:dispUnits/>
      </c:val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159768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75"/>
          <c:y val="0.36525"/>
          <c:w val="0.3475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15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75"/>
          <c:w val="0.539"/>
          <c:h val="0.879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 350'!$G$65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350'!$A$66:$A$78</c:f>
              <c:numCache/>
            </c:numRef>
          </c:xVal>
          <c:yVal>
            <c:numRef>
              <c:f>'W 350'!$G$66:$G$78</c:f>
              <c:numCache/>
            </c:numRef>
          </c:yVal>
          <c:smooth val="1"/>
        </c:ser>
        <c:ser>
          <c:idx val="8"/>
          <c:order val="1"/>
          <c:tx>
            <c:strRef>
              <c:f>'W 350'!$J$65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350'!$A$66:$A$78</c:f>
              <c:numCache/>
            </c:numRef>
          </c:xVal>
          <c:yVal>
            <c:numRef>
              <c:f>'W 350'!$J$66:$J$78</c:f>
              <c:numCache/>
            </c:numRef>
          </c:yVal>
          <c:smooth val="1"/>
        </c:ser>
        <c:axId val="15951794"/>
        <c:axId val="9348419"/>
      </c:scatterChart>
      <c:val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348419"/>
        <c:crosses val="autoZero"/>
        <c:crossBetween val="midCat"/>
        <c:dispUnits/>
      </c:valAx>
      <c:valAx>
        <c:axId val="934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951794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0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275"/>
          <c:w val="0.539"/>
          <c:h val="0.880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 350'!$G$83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350'!$A$84:$A$96</c:f>
              <c:numCache/>
            </c:numRef>
          </c:xVal>
          <c:yVal>
            <c:numRef>
              <c:f>'W 350'!$G$84:$G$96</c:f>
              <c:numCache/>
            </c:numRef>
          </c:yVal>
          <c:smooth val="1"/>
        </c:ser>
        <c:ser>
          <c:idx val="8"/>
          <c:order val="1"/>
          <c:tx>
            <c:strRef>
              <c:f>'W 350'!$J$83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350'!$A$84:$A$96</c:f>
              <c:numCache/>
            </c:numRef>
          </c:xVal>
          <c:yVal>
            <c:numRef>
              <c:f>'W 350'!$J$84:$J$96</c:f>
              <c:numCache/>
            </c:numRef>
          </c:yVal>
          <c:smooth val="1"/>
        </c:ser>
        <c:axId val="17026908"/>
        <c:axId val="19024445"/>
      </c:scatterChart>
      <c:val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024445"/>
        <c:crosses val="autoZero"/>
        <c:crossBetween val="midCat"/>
        <c:dispUnits/>
      </c:val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026908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-15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275"/>
          <c:w val="0.539"/>
          <c:h val="0.880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 350'!$G$101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350'!$A$102:$A$114</c:f>
              <c:numCache/>
            </c:numRef>
          </c:xVal>
          <c:yVal>
            <c:numRef>
              <c:f>'W 350'!$G$102:$G$114</c:f>
              <c:numCache/>
            </c:numRef>
          </c:yVal>
          <c:smooth val="1"/>
        </c:ser>
        <c:ser>
          <c:idx val="8"/>
          <c:order val="1"/>
          <c:tx>
            <c:strRef>
              <c:f>'W 350'!$J$101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350'!$A$102:$A$114</c:f>
              <c:numCache/>
            </c:numRef>
          </c:xVal>
          <c:yVal>
            <c:numRef>
              <c:f>'W 350'!$J$102:$J$114</c:f>
              <c:numCache/>
            </c:numRef>
          </c:yVal>
          <c:smooth val="1"/>
        </c:ser>
        <c:axId val="37002278"/>
        <c:axId val="64585047"/>
      </c:scatterChart>
      <c:val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585047"/>
        <c:crosses val="autoZero"/>
        <c:crossBetween val="midCat"/>
        <c:dispUnits/>
      </c:val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002278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-30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275"/>
          <c:w val="0.539"/>
          <c:h val="0.88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 350'!$G$119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350'!$A$120:$A$132</c:f>
              <c:numCache/>
            </c:numRef>
          </c:xVal>
          <c:yVal>
            <c:numRef>
              <c:f>'W 350'!$G$120:$G$132</c:f>
              <c:numCache/>
            </c:numRef>
          </c:yVal>
          <c:smooth val="1"/>
        </c:ser>
        <c:ser>
          <c:idx val="8"/>
          <c:order val="1"/>
          <c:tx>
            <c:strRef>
              <c:f>'W 350'!$J$119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350'!$A$120:$A$132</c:f>
              <c:numCache/>
            </c:numRef>
          </c:xVal>
          <c:yVal>
            <c:numRef>
              <c:f>'W 350'!$J$120:$J$132</c:f>
              <c:numCache/>
            </c:numRef>
          </c:yVal>
          <c:smooth val="1"/>
        </c:ser>
        <c:axId val="44394512"/>
        <c:axId val="64006289"/>
      </c:scatterChart>
      <c:val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006289"/>
        <c:crosses val="autoZero"/>
        <c:crossBetween val="midCat"/>
        <c:dispUnits/>
      </c:val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394512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-45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275"/>
          <c:w val="0.539"/>
          <c:h val="0.88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 350'!$G$137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350'!$A$138:$A$150</c:f>
              <c:numCache/>
            </c:numRef>
          </c:xVal>
          <c:yVal>
            <c:numRef>
              <c:f>'W 350'!$G$138:$G$150</c:f>
              <c:numCache/>
            </c:numRef>
          </c:yVal>
          <c:smooth val="1"/>
        </c:ser>
        <c:ser>
          <c:idx val="8"/>
          <c:order val="1"/>
          <c:tx>
            <c:strRef>
              <c:f>'W 350'!$J$137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350'!$A$138:$A$150</c:f>
              <c:numCache/>
            </c:numRef>
          </c:xVal>
          <c:yVal>
            <c:numRef>
              <c:f>'W 350'!$J$138:$J$150</c:f>
              <c:numCache/>
            </c:numRef>
          </c:yVal>
          <c:smooth val="1"/>
        </c:ser>
        <c:axId val="39185690"/>
        <c:axId val="17126891"/>
      </c:scatterChart>
      <c:val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126891"/>
        <c:crosses val="autoZero"/>
        <c:crossBetween val="midCat"/>
        <c:dispUnits/>
      </c:val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185690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</a:t>
            </a:r>
          </a:p>
        </c:rich>
      </c:tx>
      <c:layout>
        <c:manualLayout>
          <c:xMode val="factor"/>
          <c:yMode val="factor"/>
          <c:x val="0.008"/>
          <c:y val="-0.006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08975"/>
          <c:w val="0.59775"/>
          <c:h val="0.7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'WT 350'!$A$46</c:f>
              <c:strCache>
                <c:ptCount val="1"/>
                <c:pt idx="0">
                  <c:v>Temp = 30 Degree Celcius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350'!$A$48:$A$60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'WT 350'!$G$48:$G$56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'WT 350'!$A$64</c:f>
              <c:strCache>
                <c:ptCount val="1"/>
                <c:pt idx="0">
                  <c:v>Temp = 15 Degree Celcius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350'!$A$66:$A$78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'WT 350'!$G$66:$G$73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'WT 350'!$A$82</c:f>
              <c:strCache>
                <c:ptCount val="1"/>
                <c:pt idx="0">
                  <c:v>Temp = Zero Degree Celcius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350'!$A$84:$A$96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'WT 350'!$G$84:$G$90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'WT 350'!$A$100</c:f>
              <c:strCache>
                <c:ptCount val="1"/>
                <c:pt idx="0">
                  <c:v>Temp = -15 Degree Celcius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350'!$A$102:$A$114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'WT 350'!$G$102:$G$107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'WT 350'!$A$136</c:f>
              <c:strCache>
                <c:ptCount val="1"/>
                <c:pt idx="0">
                  <c:v>Temp = -45 Degree Celcius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350'!$A$138:$A$150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'WT 350'!$G$138:$G$141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'WT 350'!$J$47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350'!$A$48:$A$60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'WT 350'!$J$48:$J$60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0973922"/>
        <c:axId val="31656435"/>
      </c:scatterChart>
      <c:val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(mm) 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656435"/>
        <c:crosses val="autoZero"/>
        <c:crossBetween val="midCat"/>
        <c:dispUnits/>
      </c:val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973922"/>
        <c:crosses val="autoZero"/>
        <c:crossBetween val="midCat"/>
        <c:dispUnits/>
      </c:valAx>
      <c:spPr>
        <a:solidFill>
          <a:srgbClr val="F2DCDB">
            <a:alpha val="70000"/>
          </a:srgbClr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155"/>
          <c:w val="0.2995"/>
          <c:h val="0.7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15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75"/>
          <c:w val="0.539"/>
          <c:h val="0.879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'WT 350'!$G$65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350'!$A$66:$A$78</c:f>
              <c:numCache/>
            </c:numRef>
          </c:xVal>
          <c:yVal>
            <c:numRef>
              <c:f>'WT 350'!$G$66:$G$78</c:f>
              <c:numCache/>
            </c:numRef>
          </c:yVal>
          <c:smooth val="1"/>
        </c:ser>
        <c:ser>
          <c:idx val="8"/>
          <c:order val="1"/>
          <c:tx>
            <c:strRef>
              <c:f>'WT 350'!$J$65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350'!$A$66:$A$78</c:f>
              <c:numCache/>
            </c:numRef>
          </c:xVal>
          <c:yVal>
            <c:numRef>
              <c:f>'WT 350'!$J$66:$J$78</c:f>
              <c:numCache/>
            </c:numRef>
          </c:yVal>
          <c:smooth val="1"/>
        </c:ser>
        <c:axId val="16472460"/>
        <c:axId val="14034413"/>
      </c:scatterChart>
      <c:val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034413"/>
        <c:crosses val="autoZero"/>
        <c:crossBetween val="midCat"/>
        <c:dispUnits/>
      </c:val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472460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0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75"/>
          <c:w val="0.539"/>
          <c:h val="0.879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'WT 350'!$G$83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350'!$A$84:$A$96</c:f>
              <c:numCache/>
            </c:numRef>
          </c:xVal>
          <c:yVal>
            <c:numRef>
              <c:f>'WT 350'!$G$84:$G$96</c:f>
              <c:numCache/>
            </c:numRef>
          </c:yVal>
          <c:smooth val="1"/>
        </c:ser>
        <c:ser>
          <c:idx val="8"/>
          <c:order val="1"/>
          <c:tx>
            <c:strRef>
              <c:f>'WT 350'!$J$83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350'!$A$84:$A$96</c:f>
              <c:numCache/>
            </c:numRef>
          </c:xVal>
          <c:yVal>
            <c:numRef>
              <c:f>'WT 350'!$J$84:$J$96</c:f>
              <c:numCache/>
            </c:numRef>
          </c:yVal>
          <c:smooth val="1"/>
        </c:ser>
        <c:axId val="59200854"/>
        <c:axId val="63045639"/>
      </c:scatterChart>
      <c:val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045639"/>
        <c:crosses val="autoZero"/>
        <c:crossBetween val="midCat"/>
        <c:dispUnits/>
      </c:val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200854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-15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75"/>
          <c:w val="0.539"/>
          <c:h val="0.879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'WT 350'!$G$101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350'!$A$102:$A$114</c:f>
              <c:numCache/>
            </c:numRef>
          </c:xVal>
          <c:yVal>
            <c:numRef>
              <c:f>'WT 350'!$G$102:$G$114</c:f>
              <c:numCache/>
            </c:numRef>
          </c:yVal>
          <c:smooth val="1"/>
        </c:ser>
        <c:ser>
          <c:idx val="8"/>
          <c:order val="1"/>
          <c:tx>
            <c:strRef>
              <c:f>'WT 350'!$J$101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350'!$A$102:$A$114</c:f>
              <c:numCache/>
            </c:numRef>
          </c:xVal>
          <c:yVal>
            <c:numRef>
              <c:f>'WT 350'!$J$102:$J$114</c:f>
              <c:numCache/>
            </c:numRef>
          </c:yVal>
          <c:smooth val="1"/>
        </c:ser>
        <c:axId val="30539840"/>
        <c:axId val="6423105"/>
      </c:scatterChart>
      <c:val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23105"/>
        <c:crosses val="autoZero"/>
        <c:crossBetween val="midCat"/>
        <c:dispUnits/>
      </c:val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539840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-30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75"/>
          <c:w val="0.539"/>
          <c:h val="0.879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'WT 350'!$G$119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350'!$A$120:$A$132</c:f>
              <c:numCache/>
            </c:numRef>
          </c:xVal>
          <c:yVal>
            <c:numRef>
              <c:f>'WT 350'!$G$120:$G$132</c:f>
              <c:numCache/>
            </c:numRef>
          </c:yVal>
          <c:smooth val="1"/>
        </c:ser>
        <c:ser>
          <c:idx val="8"/>
          <c:order val="1"/>
          <c:tx>
            <c:strRef>
              <c:f>'WT 350'!$J$119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350'!$A$120:$A$132</c:f>
              <c:numCache/>
            </c:numRef>
          </c:xVal>
          <c:yVal>
            <c:numRef>
              <c:f>'WT 350'!$J$120:$J$132</c:f>
              <c:numCache/>
            </c:numRef>
          </c:yVal>
          <c:smooth val="1"/>
        </c:ser>
        <c:axId val="57807946"/>
        <c:axId val="50509467"/>
      </c:scatterChart>
      <c:val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509467"/>
        <c:crosses val="autoZero"/>
        <c:crossBetween val="midCat"/>
        <c:dispUnits/>
      </c:val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807946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-45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75"/>
          <c:w val="0.539"/>
          <c:h val="0.879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'WT 350'!$G$137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350'!$A$138:$A$150</c:f>
              <c:numCache/>
            </c:numRef>
          </c:xVal>
          <c:yVal>
            <c:numRef>
              <c:f>'WT 350'!$G$138:$G$150</c:f>
              <c:numCache/>
            </c:numRef>
          </c:yVal>
          <c:smooth val="1"/>
        </c:ser>
        <c:ser>
          <c:idx val="8"/>
          <c:order val="1"/>
          <c:tx>
            <c:strRef>
              <c:f>'WT 350'!$J$137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'WT 350'!$A$138:$A$150</c:f>
              <c:numCache/>
            </c:numRef>
          </c:xVal>
          <c:yVal>
            <c:numRef>
              <c:f>'WT 350'!$J$138:$J$150</c:f>
              <c:numCache/>
            </c:numRef>
          </c:yVal>
          <c:smooth val="1"/>
        </c:ser>
        <c:axId val="51932020"/>
        <c:axId val="64734997"/>
      </c:scatterChart>
      <c:val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734997"/>
        <c:crosses val="autoZero"/>
        <c:crossBetween val="midCat"/>
        <c:dispUnits/>
      </c:valAx>
      <c:valAx>
        <c:axId val="6473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932020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275"/>
          <c:y val="0.36375"/>
          <c:w val="0.34675"/>
          <c:h val="0.2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 for 30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C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81"/>
          <c:y val="0.083"/>
          <c:w val="0.53875"/>
          <c:h val="0.883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'W 350'!$G$47</c:f>
              <c:strCache>
                <c:ptCount val="1"/>
                <c:pt idx="0">
                  <c:v>Load (P) (kN) - Fracture Theory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350'!$A$48:$A$60</c:f>
              <c:numCache/>
            </c:numRef>
          </c:xVal>
          <c:yVal>
            <c:numRef>
              <c:f>'W 350'!$G$48:$G$60</c:f>
              <c:numCache/>
            </c:numRef>
          </c:yVal>
          <c:smooth val="1"/>
        </c:ser>
        <c:ser>
          <c:idx val="8"/>
          <c:order val="1"/>
          <c:tx>
            <c:strRef>
              <c:f>'W 350'!$J$47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350'!$A$48:$A$60</c:f>
              <c:numCache/>
            </c:numRef>
          </c:xVal>
          <c:yVal>
            <c:numRef>
              <c:f>'W 350'!$J$48:$J$60</c:f>
              <c:numCache/>
            </c:numRef>
          </c:yVal>
          <c:smooth val="1"/>
        </c:ser>
        <c:axId val="45744062"/>
        <c:axId val="9043375"/>
      </c:scatterChart>
      <c:val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(mm)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043375"/>
        <c:crosses val="autoZero"/>
        <c:crossBetween val="midCat"/>
        <c:dispUnits/>
      </c:valAx>
      <c:valAx>
        <c:axId val="904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744062"/>
        <c:crossesAt val="0"/>
        <c:crossBetween val="midCat"/>
        <c:dispUnits/>
      </c:valAx>
      <c:spPr>
        <a:solidFill>
          <a:srgbClr val="F2DCDB">
            <a:alpha val="7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75"/>
          <c:y val="0.36525"/>
          <c:w val="0.3475"/>
          <c:h val="0.2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Crack Length (a) VS Lug Capacity (kN)</a:t>
            </a:r>
          </a:p>
        </c:rich>
      </c:tx>
      <c:layout>
        <c:manualLayout>
          <c:xMode val="factor"/>
          <c:yMode val="factor"/>
          <c:x val="0.008"/>
          <c:y val="-0.006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08925"/>
          <c:w val="0.597"/>
          <c:h val="0.78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 350'!$A$46</c:f>
              <c:strCache>
                <c:ptCount val="1"/>
                <c:pt idx="0">
                  <c:v>Temp = 30 Degree Celcius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350'!$A$48:$A$60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 350'!$G$48:$G$56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 350'!$A$64</c:f>
              <c:strCache>
                <c:ptCount val="1"/>
                <c:pt idx="0">
                  <c:v>Temp = 15 Degree Celcius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350'!$A$66:$A$78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 350'!$G$66:$G$73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 350'!$A$82</c:f>
              <c:strCache>
                <c:ptCount val="1"/>
                <c:pt idx="0">
                  <c:v>Temp = Zero Degree Celcius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350'!$A$84:$A$96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 350'!$G$84:$G$90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 350'!$A$100</c:f>
              <c:strCache>
                <c:ptCount val="1"/>
                <c:pt idx="0">
                  <c:v>Temp = -15 Degree Celcius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350'!$A$102:$A$114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 350'!$G$102:$G$107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'W 350'!$A$136</c:f>
              <c:strCache>
                <c:ptCount val="1"/>
                <c:pt idx="0">
                  <c:v>Temp = -45 Degree Celcius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350'!$A$138:$A$150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 350'!$G$138:$G$141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'W 350'!$J$47</c:f>
              <c:strCache>
                <c:ptCount val="1"/>
                <c:pt idx="0">
                  <c:v>Load (P) (kN) -Yeild Theory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 350'!$A$48:$A$60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'W 350'!$J$48:$J$60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4281512"/>
        <c:axId val="61424745"/>
      </c:scatterChart>
      <c:val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(mm) 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crossBetween val="midCat"/>
        <c:dispUnits/>
      </c:val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Load (kN)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281512"/>
        <c:crosses val="autoZero"/>
        <c:crossBetween val="midCat"/>
        <c:dispUnits/>
      </c:valAx>
      <c:spPr>
        <a:solidFill>
          <a:srgbClr val="F2DCDB">
            <a:alpha val="70000"/>
          </a:srgbClr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147"/>
          <c:w val="0.2995"/>
          <c:h val="0.7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46</xdr:row>
      <xdr:rowOff>428625</xdr:rowOff>
    </xdr:from>
    <xdr:to>
      <xdr:col>20</xdr:col>
      <xdr:colOff>228600</xdr:colOff>
      <xdr:row>61</xdr:row>
      <xdr:rowOff>76200</xdr:rowOff>
    </xdr:to>
    <xdr:graphicFrame>
      <xdr:nvGraphicFramePr>
        <xdr:cNvPr id="1" name="Chart 2"/>
        <xdr:cNvGraphicFramePr/>
      </xdr:nvGraphicFramePr>
      <xdr:xfrm>
        <a:off x="11287125" y="10001250"/>
        <a:ext cx="4562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65</xdr:row>
      <xdr:rowOff>85725</xdr:rowOff>
    </xdr:from>
    <xdr:to>
      <xdr:col>30</xdr:col>
      <xdr:colOff>76200</xdr:colOff>
      <xdr:row>81</xdr:row>
      <xdr:rowOff>38100</xdr:rowOff>
    </xdr:to>
    <xdr:graphicFrame>
      <xdr:nvGraphicFramePr>
        <xdr:cNvPr id="2" name="Chart 5"/>
        <xdr:cNvGraphicFramePr/>
      </xdr:nvGraphicFramePr>
      <xdr:xfrm>
        <a:off x="16630650" y="14306550"/>
        <a:ext cx="49149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64</xdr:row>
      <xdr:rowOff>0</xdr:rowOff>
    </xdr:from>
    <xdr:to>
      <xdr:col>20</xdr:col>
      <xdr:colOff>295275</xdr:colOff>
      <xdr:row>76</xdr:row>
      <xdr:rowOff>161925</xdr:rowOff>
    </xdr:to>
    <xdr:graphicFrame>
      <xdr:nvGraphicFramePr>
        <xdr:cNvPr id="3" name="Chart 2"/>
        <xdr:cNvGraphicFramePr/>
      </xdr:nvGraphicFramePr>
      <xdr:xfrm>
        <a:off x="11353800" y="13515975"/>
        <a:ext cx="456247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82</xdr:row>
      <xdr:rowOff>171450</xdr:rowOff>
    </xdr:from>
    <xdr:to>
      <xdr:col>20</xdr:col>
      <xdr:colOff>295275</xdr:colOff>
      <xdr:row>95</xdr:row>
      <xdr:rowOff>171450</xdr:rowOff>
    </xdr:to>
    <xdr:graphicFrame>
      <xdr:nvGraphicFramePr>
        <xdr:cNvPr id="4" name="Chart 2"/>
        <xdr:cNvGraphicFramePr/>
      </xdr:nvGraphicFramePr>
      <xdr:xfrm>
        <a:off x="11353800" y="17773650"/>
        <a:ext cx="45624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100</xdr:row>
      <xdr:rowOff>0</xdr:rowOff>
    </xdr:from>
    <xdr:to>
      <xdr:col>20</xdr:col>
      <xdr:colOff>295275</xdr:colOff>
      <xdr:row>112</xdr:row>
      <xdr:rowOff>180975</xdr:rowOff>
    </xdr:to>
    <xdr:graphicFrame>
      <xdr:nvGraphicFramePr>
        <xdr:cNvPr id="5" name="Chart 2"/>
        <xdr:cNvGraphicFramePr/>
      </xdr:nvGraphicFramePr>
      <xdr:xfrm>
        <a:off x="11353800" y="21659850"/>
        <a:ext cx="456247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118</xdr:row>
      <xdr:rowOff>0</xdr:rowOff>
    </xdr:from>
    <xdr:to>
      <xdr:col>20</xdr:col>
      <xdr:colOff>295275</xdr:colOff>
      <xdr:row>130</xdr:row>
      <xdr:rowOff>180975</xdr:rowOff>
    </xdr:to>
    <xdr:graphicFrame>
      <xdr:nvGraphicFramePr>
        <xdr:cNvPr id="6" name="Chart 2"/>
        <xdr:cNvGraphicFramePr/>
      </xdr:nvGraphicFramePr>
      <xdr:xfrm>
        <a:off x="11353800" y="25727025"/>
        <a:ext cx="456247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136</xdr:row>
      <xdr:rowOff>0</xdr:rowOff>
    </xdr:from>
    <xdr:to>
      <xdr:col>20</xdr:col>
      <xdr:colOff>295275</xdr:colOff>
      <xdr:row>148</xdr:row>
      <xdr:rowOff>190500</xdr:rowOff>
    </xdr:to>
    <xdr:graphicFrame>
      <xdr:nvGraphicFramePr>
        <xdr:cNvPr id="7" name="Chart 2"/>
        <xdr:cNvGraphicFramePr/>
      </xdr:nvGraphicFramePr>
      <xdr:xfrm>
        <a:off x="11353800" y="29794200"/>
        <a:ext cx="456247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209550</xdr:colOff>
      <xdr:row>3</xdr:row>
      <xdr:rowOff>152400</xdr:rowOff>
    </xdr:from>
    <xdr:to>
      <xdr:col>11</xdr:col>
      <xdr:colOff>2152650</xdr:colOff>
      <xdr:row>12</xdr:row>
      <xdr:rowOff>95250</xdr:rowOff>
    </xdr:to>
    <xdr:grpSp>
      <xdr:nvGrpSpPr>
        <xdr:cNvPr id="8" name="Group 86"/>
        <xdr:cNvGrpSpPr>
          <a:grpSpLocks/>
        </xdr:cNvGrpSpPr>
      </xdr:nvGrpSpPr>
      <xdr:grpSpPr>
        <a:xfrm>
          <a:off x="7896225" y="742950"/>
          <a:ext cx="2552700" cy="1819275"/>
          <a:chOff x="7636587" y="743001"/>
          <a:chExt cx="2551531" cy="1841173"/>
        </a:xfrm>
        <a:solidFill>
          <a:srgbClr val="FFFFFF"/>
        </a:solidFill>
      </xdr:grpSpPr>
      <xdr:sp>
        <xdr:nvSpPr>
          <xdr:cNvPr id="9" name="Oval 8"/>
          <xdr:cNvSpPr>
            <a:spLocks/>
          </xdr:cNvSpPr>
        </xdr:nvSpPr>
        <xdr:spPr>
          <a:xfrm>
            <a:off x="8312743" y="1219865"/>
            <a:ext cx="914086" cy="91598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8322311" y="1677857"/>
            <a:ext cx="914086" cy="45799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8626581" y="1534705"/>
            <a:ext cx="276203" cy="276636"/>
          </a:xfrm>
          <a:prstGeom prst="ellipse">
            <a:avLst/>
          </a:prstGeom>
          <a:solidFill>
            <a:srgbClr val="4F81BD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traight Arrow Connector 11"/>
          <xdr:cNvSpPr>
            <a:spLocks/>
          </xdr:cNvSpPr>
        </xdr:nvSpPr>
        <xdr:spPr>
          <a:xfrm rot="5400000" flipH="1" flipV="1">
            <a:off x="8607445" y="1057842"/>
            <a:ext cx="324044" cy="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 flipV="1">
            <a:off x="7636587" y="1677396"/>
            <a:ext cx="2551531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1"/>
          <xdr:cNvSpPr>
            <a:spLocks/>
          </xdr:cNvSpPr>
        </xdr:nvSpPr>
        <xdr:spPr>
          <a:xfrm flipH="1" flipV="1">
            <a:off x="8763726" y="950133"/>
            <a:ext cx="0" cy="1274552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4"/>
          <xdr:cNvSpPr txBox="1">
            <a:spLocks noChangeArrowheads="1"/>
          </xdr:cNvSpPr>
        </xdr:nvSpPr>
        <xdr:spPr>
          <a:xfrm>
            <a:off x="8579378" y="743001"/>
            <a:ext cx="494997" cy="152817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LOAD (P)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6" name="Straight Connector 16"/>
          <xdr:cNvSpPr>
            <a:spLocks/>
          </xdr:cNvSpPr>
        </xdr:nvSpPr>
        <xdr:spPr>
          <a:xfrm>
            <a:off x="7750768" y="2145515"/>
            <a:ext cx="523702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791"/>
          <xdr:cNvSpPr>
            <a:spLocks/>
          </xdr:cNvSpPr>
        </xdr:nvSpPr>
        <xdr:spPr>
          <a:xfrm>
            <a:off x="8090760" y="1599607"/>
            <a:ext cx="0" cy="63336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xt Box 10"/>
          <xdr:cNvSpPr txBox="1">
            <a:spLocks noChangeArrowheads="1"/>
          </xdr:cNvSpPr>
        </xdr:nvSpPr>
        <xdr:spPr>
          <a:xfrm>
            <a:off x="7951063" y="1734933"/>
            <a:ext cx="266635" cy="40045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22860" anchor="ctr" vert="vert27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100 mm
</a:t>
            </a:r>
          </a:p>
        </xdr:txBody>
      </xdr:sp>
      <xdr:sp>
        <xdr:nvSpPr>
          <xdr:cNvPr id="19" name="Line 793"/>
          <xdr:cNvSpPr>
            <a:spLocks/>
          </xdr:cNvSpPr>
        </xdr:nvSpPr>
        <xdr:spPr>
          <a:xfrm flipH="1">
            <a:off x="8043556" y="1655302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793"/>
          <xdr:cNvSpPr>
            <a:spLocks/>
          </xdr:cNvSpPr>
        </xdr:nvSpPr>
        <xdr:spPr>
          <a:xfrm flipH="1">
            <a:off x="8051849" y="2119738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Straight Connector 23"/>
          <xdr:cNvSpPr>
            <a:spLocks/>
          </xdr:cNvSpPr>
        </xdr:nvSpPr>
        <xdr:spPr>
          <a:xfrm>
            <a:off x="8160289" y="2393152"/>
            <a:ext cx="1171153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793"/>
          <xdr:cNvSpPr>
            <a:spLocks/>
          </xdr:cNvSpPr>
        </xdr:nvSpPr>
        <xdr:spPr>
          <a:xfrm flipH="1">
            <a:off x="8274470" y="2365535"/>
            <a:ext cx="75908" cy="704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793"/>
          <xdr:cNvSpPr>
            <a:spLocks/>
          </xdr:cNvSpPr>
        </xdr:nvSpPr>
        <xdr:spPr>
          <a:xfrm flipH="1">
            <a:off x="9179625" y="2365535"/>
            <a:ext cx="85476" cy="704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27"/>
          <xdr:cNvSpPr>
            <a:spLocks/>
          </xdr:cNvSpPr>
        </xdr:nvSpPr>
        <xdr:spPr>
          <a:xfrm rot="5400000" flipH="1" flipV="1">
            <a:off x="8169219" y="2336076"/>
            <a:ext cx="286409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traight Connector 31"/>
          <xdr:cNvSpPr>
            <a:spLocks/>
          </xdr:cNvSpPr>
        </xdr:nvSpPr>
        <xdr:spPr>
          <a:xfrm rot="5400000" flipH="1" flipV="1">
            <a:off x="9083305" y="2326410"/>
            <a:ext cx="286409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Rectangle 32"/>
          <xdr:cNvSpPr>
            <a:spLocks/>
          </xdr:cNvSpPr>
        </xdr:nvSpPr>
        <xdr:spPr>
          <a:xfrm>
            <a:off x="8340810" y="1649318"/>
            <a:ext cx="247499" cy="7640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tangle 33"/>
          <xdr:cNvSpPr>
            <a:spLocks/>
          </xdr:cNvSpPr>
        </xdr:nvSpPr>
        <xdr:spPr>
          <a:xfrm>
            <a:off x="8941057" y="1649318"/>
            <a:ext cx="257067" cy="6674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14"/>
          <xdr:cNvSpPr txBox="1">
            <a:spLocks noChangeArrowheads="1"/>
          </xdr:cNvSpPr>
        </xdr:nvSpPr>
        <xdr:spPr>
          <a:xfrm>
            <a:off x="8636149" y="2250461"/>
            <a:ext cx="323407" cy="33371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200 mm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9" name="Straight Connector 35"/>
          <xdr:cNvSpPr>
            <a:spLocks/>
          </xdr:cNvSpPr>
        </xdr:nvSpPr>
        <xdr:spPr>
          <a:xfrm>
            <a:off x="9178987" y="1219865"/>
            <a:ext cx="799905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791"/>
          <xdr:cNvSpPr>
            <a:spLocks/>
          </xdr:cNvSpPr>
        </xdr:nvSpPr>
        <xdr:spPr>
          <a:xfrm>
            <a:off x="9581492" y="1132409"/>
            <a:ext cx="0" cy="61955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Text Box 10"/>
          <xdr:cNvSpPr txBox="1">
            <a:spLocks noChangeArrowheads="1"/>
          </xdr:cNvSpPr>
        </xdr:nvSpPr>
        <xdr:spPr>
          <a:xfrm>
            <a:off x="9436054" y="1277401"/>
            <a:ext cx="332975" cy="38158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22860" anchor="ctr" vert="vert27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100 mm
</a:t>
            </a:r>
          </a:p>
        </xdr:txBody>
      </xdr:sp>
      <xdr:sp>
        <xdr:nvSpPr>
          <xdr:cNvPr id="32" name="Line 793"/>
          <xdr:cNvSpPr>
            <a:spLocks/>
          </xdr:cNvSpPr>
        </xdr:nvSpPr>
        <xdr:spPr>
          <a:xfrm flipH="1">
            <a:off x="9534288" y="1193168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793"/>
          <xdr:cNvSpPr>
            <a:spLocks/>
          </xdr:cNvSpPr>
        </xdr:nvSpPr>
        <xdr:spPr>
          <a:xfrm flipH="1">
            <a:off x="9542581" y="1638732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Straight Connector 46"/>
          <xdr:cNvSpPr>
            <a:spLocks/>
          </xdr:cNvSpPr>
        </xdr:nvSpPr>
        <xdr:spPr>
          <a:xfrm>
            <a:off x="9388213" y="2164387"/>
            <a:ext cx="20922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Text Box 14"/>
          <xdr:cNvSpPr txBox="1">
            <a:spLocks noChangeArrowheads="1"/>
          </xdr:cNvSpPr>
        </xdr:nvSpPr>
        <xdr:spPr>
          <a:xfrm>
            <a:off x="9416918" y="2021235"/>
            <a:ext cx="456724" cy="276636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60 mm  Dia. hole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6" name="Isosceles Triangle 49"/>
          <xdr:cNvSpPr>
            <a:spLocks/>
          </xdr:cNvSpPr>
        </xdr:nvSpPr>
        <xdr:spPr>
          <a:xfrm flipH="1">
            <a:off x="8560241" y="1639652"/>
            <a:ext cx="19136" cy="104947"/>
          </a:xfrm>
          <a:prstGeom prst="triangle">
            <a:avLst/>
          </a:prstGeom>
          <a:solidFill>
            <a:srgbClr val="4F81BD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Isosceles Triangle 50"/>
          <xdr:cNvSpPr>
            <a:spLocks/>
          </xdr:cNvSpPr>
        </xdr:nvSpPr>
        <xdr:spPr>
          <a:xfrm flipH="1">
            <a:off x="8960194" y="1629986"/>
            <a:ext cx="19136" cy="114613"/>
          </a:xfrm>
          <a:prstGeom prst="triangle">
            <a:avLst/>
          </a:prstGeom>
          <a:solidFill>
            <a:srgbClr val="4F81BD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Straight Connector 51"/>
          <xdr:cNvSpPr>
            <a:spLocks/>
          </xdr:cNvSpPr>
        </xdr:nvSpPr>
        <xdr:spPr>
          <a:xfrm rot="5400000" flipH="1" flipV="1">
            <a:off x="8407787" y="1534705"/>
            <a:ext cx="19072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Straight Connector 52"/>
          <xdr:cNvSpPr>
            <a:spLocks/>
          </xdr:cNvSpPr>
        </xdr:nvSpPr>
        <xdr:spPr>
          <a:xfrm rot="5400000" flipH="1" flipV="1">
            <a:off x="8502832" y="1544372"/>
            <a:ext cx="229000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Straight Connector 53"/>
          <xdr:cNvSpPr>
            <a:spLocks/>
          </xdr:cNvSpPr>
        </xdr:nvSpPr>
        <xdr:spPr>
          <a:xfrm flipV="1">
            <a:off x="8455628" y="1515833"/>
            <a:ext cx="19965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793"/>
          <xdr:cNvSpPr>
            <a:spLocks/>
          </xdr:cNvSpPr>
        </xdr:nvSpPr>
        <xdr:spPr>
          <a:xfrm flipH="1">
            <a:off x="8467110" y="1494200"/>
            <a:ext cx="58047" cy="5339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793"/>
          <xdr:cNvSpPr>
            <a:spLocks/>
          </xdr:cNvSpPr>
        </xdr:nvSpPr>
        <xdr:spPr>
          <a:xfrm flipH="1">
            <a:off x="8583205" y="1497422"/>
            <a:ext cx="54858" cy="501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Straight Arrow Connector 60"/>
          <xdr:cNvSpPr>
            <a:spLocks/>
          </xdr:cNvSpPr>
        </xdr:nvSpPr>
        <xdr:spPr>
          <a:xfrm rot="16200000" flipH="1">
            <a:off x="8369514" y="1172455"/>
            <a:ext cx="218794" cy="343379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Text Box 14"/>
          <xdr:cNvSpPr txBox="1">
            <a:spLocks noChangeArrowheads="1"/>
          </xdr:cNvSpPr>
        </xdr:nvSpPr>
        <xdr:spPr>
          <a:xfrm>
            <a:off x="7874517" y="1029303"/>
            <a:ext cx="571543" cy="276636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Crack Length (a)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5" name="Straight Connector 65"/>
          <xdr:cNvSpPr>
            <a:spLocks/>
          </xdr:cNvSpPr>
        </xdr:nvSpPr>
        <xdr:spPr>
          <a:xfrm rot="10800000">
            <a:off x="7874517" y="1172455"/>
            <a:ext cx="50456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Straight Connector 70"/>
          <xdr:cNvSpPr>
            <a:spLocks/>
          </xdr:cNvSpPr>
        </xdr:nvSpPr>
        <xdr:spPr>
          <a:xfrm rot="5400000" flipH="1" flipV="1">
            <a:off x="8816670" y="1525039"/>
            <a:ext cx="19072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793"/>
          <xdr:cNvSpPr>
            <a:spLocks/>
          </xdr:cNvSpPr>
        </xdr:nvSpPr>
        <xdr:spPr>
          <a:xfrm flipH="1">
            <a:off x="8874080" y="1487755"/>
            <a:ext cx="58047" cy="5339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Straight Connector 72"/>
          <xdr:cNvSpPr>
            <a:spLocks/>
          </xdr:cNvSpPr>
        </xdr:nvSpPr>
        <xdr:spPr>
          <a:xfrm flipV="1">
            <a:off x="8854943" y="1506167"/>
            <a:ext cx="19965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Straight Connector 73"/>
          <xdr:cNvSpPr>
            <a:spLocks/>
          </xdr:cNvSpPr>
        </xdr:nvSpPr>
        <xdr:spPr>
          <a:xfrm rot="5400000" flipH="1" flipV="1">
            <a:off x="8921921" y="1534705"/>
            <a:ext cx="19072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793"/>
          <xdr:cNvSpPr>
            <a:spLocks/>
          </xdr:cNvSpPr>
        </xdr:nvSpPr>
        <xdr:spPr>
          <a:xfrm flipH="1">
            <a:off x="8986985" y="1484533"/>
            <a:ext cx="54858" cy="501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Straight Arrow Connector 75"/>
          <xdr:cNvSpPr>
            <a:spLocks/>
          </xdr:cNvSpPr>
        </xdr:nvSpPr>
        <xdr:spPr>
          <a:xfrm>
            <a:off x="8388651" y="1162788"/>
            <a:ext cx="599610" cy="333713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Rectangle 79"/>
          <xdr:cNvSpPr>
            <a:spLocks/>
          </xdr:cNvSpPr>
        </xdr:nvSpPr>
        <xdr:spPr>
          <a:xfrm>
            <a:off x="8340810" y="1811342"/>
            <a:ext cx="352111" cy="29550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Rectangle 82"/>
          <xdr:cNvSpPr>
            <a:spLocks/>
          </xdr:cNvSpPr>
        </xdr:nvSpPr>
        <xdr:spPr>
          <a:xfrm>
            <a:off x="8846013" y="1811342"/>
            <a:ext cx="352111" cy="29550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Straight Arrow Connector 83"/>
          <xdr:cNvSpPr>
            <a:spLocks/>
          </xdr:cNvSpPr>
        </xdr:nvSpPr>
        <xdr:spPr>
          <a:xfrm rot="10800000">
            <a:off x="8864511" y="1773137"/>
            <a:ext cx="533270" cy="40045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Rectangle 84"/>
          <xdr:cNvSpPr>
            <a:spLocks/>
          </xdr:cNvSpPr>
        </xdr:nvSpPr>
        <xdr:spPr>
          <a:xfrm>
            <a:off x="8331879" y="1725727"/>
            <a:ext cx="38273" cy="123819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Rectangle 85"/>
          <xdr:cNvSpPr>
            <a:spLocks/>
          </xdr:cNvSpPr>
        </xdr:nvSpPr>
        <xdr:spPr>
          <a:xfrm>
            <a:off x="9178987" y="1697189"/>
            <a:ext cx="47841" cy="13348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46</xdr:row>
      <xdr:rowOff>428625</xdr:rowOff>
    </xdr:from>
    <xdr:to>
      <xdr:col>20</xdr:col>
      <xdr:colOff>228600</xdr:colOff>
      <xdr:row>61</xdr:row>
      <xdr:rowOff>76200</xdr:rowOff>
    </xdr:to>
    <xdr:graphicFrame>
      <xdr:nvGraphicFramePr>
        <xdr:cNvPr id="1" name="Chart 2"/>
        <xdr:cNvGraphicFramePr/>
      </xdr:nvGraphicFramePr>
      <xdr:xfrm>
        <a:off x="11287125" y="10001250"/>
        <a:ext cx="4562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65</xdr:row>
      <xdr:rowOff>85725</xdr:rowOff>
    </xdr:from>
    <xdr:to>
      <xdr:col>30</xdr:col>
      <xdr:colOff>76200</xdr:colOff>
      <xdr:row>81</xdr:row>
      <xdr:rowOff>38100</xdr:rowOff>
    </xdr:to>
    <xdr:graphicFrame>
      <xdr:nvGraphicFramePr>
        <xdr:cNvPr id="2" name="Chart 5"/>
        <xdr:cNvGraphicFramePr/>
      </xdr:nvGraphicFramePr>
      <xdr:xfrm>
        <a:off x="16630650" y="14306550"/>
        <a:ext cx="49149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64</xdr:row>
      <xdr:rowOff>0</xdr:rowOff>
    </xdr:from>
    <xdr:to>
      <xdr:col>20</xdr:col>
      <xdr:colOff>295275</xdr:colOff>
      <xdr:row>76</xdr:row>
      <xdr:rowOff>161925</xdr:rowOff>
    </xdr:to>
    <xdr:graphicFrame>
      <xdr:nvGraphicFramePr>
        <xdr:cNvPr id="3" name="Chart 2"/>
        <xdr:cNvGraphicFramePr/>
      </xdr:nvGraphicFramePr>
      <xdr:xfrm>
        <a:off x="11353800" y="13515975"/>
        <a:ext cx="456247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82</xdr:row>
      <xdr:rowOff>171450</xdr:rowOff>
    </xdr:from>
    <xdr:to>
      <xdr:col>20</xdr:col>
      <xdr:colOff>295275</xdr:colOff>
      <xdr:row>95</xdr:row>
      <xdr:rowOff>171450</xdr:rowOff>
    </xdr:to>
    <xdr:graphicFrame>
      <xdr:nvGraphicFramePr>
        <xdr:cNvPr id="4" name="Chart 2"/>
        <xdr:cNvGraphicFramePr/>
      </xdr:nvGraphicFramePr>
      <xdr:xfrm>
        <a:off x="11353800" y="17773650"/>
        <a:ext cx="45624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100</xdr:row>
      <xdr:rowOff>0</xdr:rowOff>
    </xdr:from>
    <xdr:to>
      <xdr:col>20</xdr:col>
      <xdr:colOff>295275</xdr:colOff>
      <xdr:row>112</xdr:row>
      <xdr:rowOff>180975</xdr:rowOff>
    </xdr:to>
    <xdr:graphicFrame>
      <xdr:nvGraphicFramePr>
        <xdr:cNvPr id="5" name="Chart 2"/>
        <xdr:cNvGraphicFramePr/>
      </xdr:nvGraphicFramePr>
      <xdr:xfrm>
        <a:off x="11353800" y="21659850"/>
        <a:ext cx="456247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118</xdr:row>
      <xdr:rowOff>0</xdr:rowOff>
    </xdr:from>
    <xdr:to>
      <xdr:col>20</xdr:col>
      <xdr:colOff>295275</xdr:colOff>
      <xdr:row>130</xdr:row>
      <xdr:rowOff>180975</xdr:rowOff>
    </xdr:to>
    <xdr:graphicFrame>
      <xdr:nvGraphicFramePr>
        <xdr:cNvPr id="6" name="Chart 2"/>
        <xdr:cNvGraphicFramePr/>
      </xdr:nvGraphicFramePr>
      <xdr:xfrm>
        <a:off x="11353800" y="25727025"/>
        <a:ext cx="456247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136</xdr:row>
      <xdr:rowOff>0</xdr:rowOff>
    </xdr:from>
    <xdr:to>
      <xdr:col>20</xdr:col>
      <xdr:colOff>295275</xdr:colOff>
      <xdr:row>148</xdr:row>
      <xdr:rowOff>190500</xdr:rowOff>
    </xdr:to>
    <xdr:graphicFrame>
      <xdr:nvGraphicFramePr>
        <xdr:cNvPr id="7" name="Chart 2"/>
        <xdr:cNvGraphicFramePr/>
      </xdr:nvGraphicFramePr>
      <xdr:xfrm>
        <a:off x="11353800" y="29794200"/>
        <a:ext cx="456247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209550</xdr:colOff>
      <xdr:row>3</xdr:row>
      <xdr:rowOff>152400</xdr:rowOff>
    </xdr:from>
    <xdr:to>
      <xdr:col>11</xdr:col>
      <xdr:colOff>2152650</xdr:colOff>
      <xdr:row>12</xdr:row>
      <xdr:rowOff>95250</xdr:rowOff>
    </xdr:to>
    <xdr:grpSp>
      <xdr:nvGrpSpPr>
        <xdr:cNvPr id="8" name="Group 86"/>
        <xdr:cNvGrpSpPr>
          <a:grpSpLocks/>
        </xdr:cNvGrpSpPr>
      </xdr:nvGrpSpPr>
      <xdr:grpSpPr>
        <a:xfrm>
          <a:off x="7896225" y="742950"/>
          <a:ext cx="2552700" cy="1819275"/>
          <a:chOff x="7636587" y="743001"/>
          <a:chExt cx="2551531" cy="1841173"/>
        </a:xfrm>
        <a:solidFill>
          <a:srgbClr val="FFFFFF"/>
        </a:solidFill>
      </xdr:grpSpPr>
      <xdr:sp>
        <xdr:nvSpPr>
          <xdr:cNvPr id="9" name="Oval 8"/>
          <xdr:cNvSpPr>
            <a:spLocks/>
          </xdr:cNvSpPr>
        </xdr:nvSpPr>
        <xdr:spPr>
          <a:xfrm>
            <a:off x="8312743" y="1219865"/>
            <a:ext cx="914086" cy="91598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8322311" y="1677857"/>
            <a:ext cx="914086" cy="457992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8626581" y="1534705"/>
            <a:ext cx="276203" cy="276636"/>
          </a:xfrm>
          <a:prstGeom prst="ellipse">
            <a:avLst/>
          </a:prstGeom>
          <a:solidFill>
            <a:srgbClr val="4F81BD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traight Arrow Connector 11"/>
          <xdr:cNvSpPr>
            <a:spLocks/>
          </xdr:cNvSpPr>
        </xdr:nvSpPr>
        <xdr:spPr>
          <a:xfrm rot="5400000" flipH="1" flipV="1">
            <a:off x="8607445" y="1057842"/>
            <a:ext cx="324044" cy="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1"/>
          <xdr:cNvSpPr>
            <a:spLocks/>
          </xdr:cNvSpPr>
        </xdr:nvSpPr>
        <xdr:spPr>
          <a:xfrm flipV="1">
            <a:off x="7636587" y="1677396"/>
            <a:ext cx="2551531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1"/>
          <xdr:cNvSpPr>
            <a:spLocks/>
          </xdr:cNvSpPr>
        </xdr:nvSpPr>
        <xdr:spPr>
          <a:xfrm flipH="1" flipV="1">
            <a:off x="8763726" y="950133"/>
            <a:ext cx="0" cy="1274552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4"/>
          <xdr:cNvSpPr txBox="1">
            <a:spLocks noChangeArrowheads="1"/>
          </xdr:cNvSpPr>
        </xdr:nvSpPr>
        <xdr:spPr>
          <a:xfrm>
            <a:off x="8579378" y="743001"/>
            <a:ext cx="494997" cy="152817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LOAD (P)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6" name="Straight Connector 16"/>
          <xdr:cNvSpPr>
            <a:spLocks/>
          </xdr:cNvSpPr>
        </xdr:nvSpPr>
        <xdr:spPr>
          <a:xfrm>
            <a:off x="7750768" y="2145515"/>
            <a:ext cx="523702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791"/>
          <xdr:cNvSpPr>
            <a:spLocks/>
          </xdr:cNvSpPr>
        </xdr:nvSpPr>
        <xdr:spPr>
          <a:xfrm>
            <a:off x="8090760" y="1599607"/>
            <a:ext cx="0" cy="63336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xt Box 10"/>
          <xdr:cNvSpPr txBox="1">
            <a:spLocks noChangeArrowheads="1"/>
          </xdr:cNvSpPr>
        </xdr:nvSpPr>
        <xdr:spPr>
          <a:xfrm>
            <a:off x="7951063" y="1734933"/>
            <a:ext cx="266635" cy="400455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22860" anchor="ctr" vert="vert27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100 mm
</a:t>
            </a:r>
          </a:p>
        </xdr:txBody>
      </xdr:sp>
      <xdr:sp>
        <xdr:nvSpPr>
          <xdr:cNvPr id="19" name="Line 793"/>
          <xdr:cNvSpPr>
            <a:spLocks/>
          </xdr:cNvSpPr>
        </xdr:nvSpPr>
        <xdr:spPr>
          <a:xfrm flipH="1">
            <a:off x="8043556" y="1655302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793"/>
          <xdr:cNvSpPr>
            <a:spLocks/>
          </xdr:cNvSpPr>
        </xdr:nvSpPr>
        <xdr:spPr>
          <a:xfrm flipH="1">
            <a:off x="8051849" y="2119738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Straight Connector 23"/>
          <xdr:cNvSpPr>
            <a:spLocks/>
          </xdr:cNvSpPr>
        </xdr:nvSpPr>
        <xdr:spPr>
          <a:xfrm>
            <a:off x="8160289" y="2393152"/>
            <a:ext cx="1171153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793"/>
          <xdr:cNvSpPr>
            <a:spLocks/>
          </xdr:cNvSpPr>
        </xdr:nvSpPr>
        <xdr:spPr>
          <a:xfrm flipH="1">
            <a:off x="8274470" y="2365535"/>
            <a:ext cx="75908" cy="704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793"/>
          <xdr:cNvSpPr>
            <a:spLocks/>
          </xdr:cNvSpPr>
        </xdr:nvSpPr>
        <xdr:spPr>
          <a:xfrm flipH="1">
            <a:off x="9179625" y="2365535"/>
            <a:ext cx="85476" cy="704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27"/>
          <xdr:cNvSpPr>
            <a:spLocks/>
          </xdr:cNvSpPr>
        </xdr:nvSpPr>
        <xdr:spPr>
          <a:xfrm rot="5400000" flipH="1" flipV="1">
            <a:off x="8169219" y="2336076"/>
            <a:ext cx="286409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traight Connector 31"/>
          <xdr:cNvSpPr>
            <a:spLocks/>
          </xdr:cNvSpPr>
        </xdr:nvSpPr>
        <xdr:spPr>
          <a:xfrm rot="5400000" flipH="1" flipV="1">
            <a:off x="9083305" y="2326410"/>
            <a:ext cx="286409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Rectangle 32"/>
          <xdr:cNvSpPr>
            <a:spLocks/>
          </xdr:cNvSpPr>
        </xdr:nvSpPr>
        <xdr:spPr>
          <a:xfrm>
            <a:off x="8340810" y="1649318"/>
            <a:ext cx="247499" cy="7640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Rectangle 33"/>
          <xdr:cNvSpPr>
            <a:spLocks/>
          </xdr:cNvSpPr>
        </xdr:nvSpPr>
        <xdr:spPr>
          <a:xfrm>
            <a:off x="8941057" y="1649318"/>
            <a:ext cx="257067" cy="6674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14"/>
          <xdr:cNvSpPr txBox="1">
            <a:spLocks noChangeArrowheads="1"/>
          </xdr:cNvSpPr>
        </xdr:nvSpPr>
        <xdr:spPr>
          <a:xfrm>
            <a:off x="8636149" y="2250461"/>
            <a:ext cx="323407" cy="33371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200 mm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29" name="Straight Connector 35"/>
          <xdr:cNvSpPr>
            <a:spLocks/>
          </xdr:cNvSpPr>
        </xdr:nvSpPr>
        <xdr:spPr>
          <a:xfrm>
            <a:off x="9178987" y="1219865"/>
            <a:ext cx="799905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791"/>
          <xdr:cNvSpPr>
            <a:spLocks/>
          </xdr:cNvSpPr>
        </xdr:nvSpPr>
        <xdr:spPr>
          <a:xfrm>
            <a:off x="9581492" y="1132409"/>
            <a:ext cx="0" cy="61955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Text Box 10"/>
          <xdr:cNvSpPr txBox="1">
            <a:spLocks noChangeArrowheads="1"/>
          </xdr:cNvSpPr>
        </xdr:nvSpPr>
        <xdr:spPr>
          <a:xfrm>
            <a:off x="9436054" y="1277401"/>
            <a:ext cx="332975" cy="381583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22860" anchor="ctr" vert="vert27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</a:rPr>
              <a:t>100 mm
</a:t>
            </a:r>
          </a:p>
        </xdr:txBody>
      </xdr:sp>
      <xdr:sp>
        <xdr:nvSpPr>
          <xdr:cNvPr id="32" name="Line 793"/>
          <xdr:cNvSpPr>
            <a:spLocks/>
          </xdr:cNvSpPr>
        </xdr:nvSpPr>
        <xdr:spPr>
          <a:xfrm flipH="1">
            <a:off x="9534288" y="1193168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793"/>
          <xdr:cNvSpPr>
            <a:spLocks/>
          </xdr:cNvSpPr>
        </xdr:nvSpPr>
        <xdr:spPr>
          <a:xfrm flipH="1">
            <a:off x="9542581" y="1638732"/>
            <a:ext cx="84838" cy="6674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Straight Connector 46"/>
          <xdr:cNvSpPr>
            <a:spLocks/>
          </xdr:cNvSpPr>
        </xdr:nvSpPr>
        <xdr:spPr>
          <a:xfrm>
            <a:off x="9388213" y="2164387"/>
            <a:ext cx="20922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Text Box 14"/>
          <xdr:cNvSpPr txBox="1">
            <a:spLocks noChangeArrowheads="1"/>
          </xdr:cNvSpPr>
        </xdr:nvSpPr>
        <xdr:spPr>
          <a:xfrm>
            <a:off x="9416918" y="2021235"/>
            <a:ext cx="456724" cy="276636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60 mm  Dia. hole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6" name="Isosceles Triangle 49"/>
          <xdr:cNvSpPr>
            <a:spLocks/>
          </xdr:cNvSpPr>
        </xdr:nvSpPr>
        <xdr:spPr>
          <a:xfrm flipH="1">
            <a:off x="8560241" y="1639652"/>
            <a:ext cx="19136" cy="104947"/>
          </a:xfrm>
          <a:prstGeom prst="triangle">
            <a:avLst/>
          </a:prstGeom>
          <a:solidFill>
            <a:srgbClr val="4F81BD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Isosceles Triangle 50"/>
          <xdr:cNvSpPr>
            <a:spLocks/>
          </xdr:cNvSpPr>
        </xdr:nvSpPr>
        <xdr:spPr>
          <a:xfrm flipH="1">
            <a:off x="8960194" y="1629986"/>
            <a:ext cx="19136" cy="114613"/>
          </a:xfrm>
          <a:prstGeom prst="triangle">
            <a:avLst/>
          </a:prstGeom>
          <a:solidFill>
            <a:srgbClr val="4F81BD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Straight Connector 51"/>
          <xdr:cNvSpPr>
            <a:spLocks/>
          </xdr:cNvSpPr>
        </xdr:nvSpPr>
        <xdr:spPr>
          <a:xfrm rot="5400000" flipH="1" flipV="1">
            <a:off x="8407787" y="1534705"/>
            <a:ext cx="19072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Straight Connector 52"/>
          <xdr:cNvSpPr>
            <a:spLocks/>
          </xdr:cNvSpPr>
        </xdr:nvSpPr>
        <xdr:spPr>
          <a:xfrm rot="5400000" flipH="1" flipV="1">
            <a:off x="8502832" y="1544372"/>
            <a:ext cx="229000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Straight Connector 53"/>
          <xdr:cNvSpPr>
            <a:spLocks/>
          </xdr:cNvSpPr>
        </xdr:nvSpPr>
        <xdr:spPr>
          <a:xfrm flipV="1">
            <a:off x="8455628" y="1515833"/>
            <a:ext cx="19965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793"/>
          <xdr:cNvSpPr>
            <a:spLocks/>
          </xdr:cNvSpPr>
        </xdr:nvSpPr>
        <xdr:spPr>
          <a:xfrm flipH="1">
            <a:off x="8467110" y="1494200"/>
            <a:ext cx="58047" cy="5339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793"/>
          <xdr:cNvSpPr>
            <a:spLocks/>
          </xdr:cNvSpPr>
        </xdr:nvSpPr>
        <xdr:spPr>
          <a:xfrm flipH="1">
            <a:off x="8583205" y="1497422"/>
            <a:ext cx="54858" cy="501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Straight Arrow Connector 60"/>
          <xdr:cNvSpPr>
            <a:spLocks/>
          </xdr:cNvSpPr>
        </xdr:nvSpPr>
        <xdr:spPr>
          <a:xfrm rot="16200000" flipH="1">
            <a:off x="8369514" y="1172455"/>
            <a:ext cx="218794" cy="343379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Text Box 14"/>
          <xdr:cNvSpPr txBox="1">
            <a:spLocks noChangeArrowheads="1"/>
          </xdr:cNvSpPr>
        </xdr:nvSpPr>
        <xdr:spPr>
          <a:xfrm>
            <a:off x="7874517" y="1029303"/>
            <a:ext cx="571543" cy="276636"/>
          </a:xfrm>
          <a:prstGeom prst="rect">
            <a:avLst/>
          </a:prstGeom>
          <a:noFill/>
          <a:ln w="317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Crack Length (a)</a:t>
            </a:r>
            <a:r>
              <a:rPr lang="en-US" cap="none" sz="5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5" name="Straight Connector 65"/>
          <xdr:cNvSpPr>
            <a:spLocks/>
          </xdr:cNvSpPr>
        </xdr:nvSpPr>
        <xdr:spPr>
          <a:xfrm rot="10800000">
            <a:off x="7874517" y="1172455"/>
            <a:ext cx="50456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Straight Connector 70"/>
          <xdr:cNvSpPr>
            <a:spLocks/>
          </xdr:cNvSpPr>
        </xdr:nvSpPr>
        <xdr:spPr>
          <a:xfrm rot="5400000" flipH="1" flipV="1">
            <a:off x="8816670" y="1525039"/>
            <a:ext cx="19072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793"/>
          <xdr:cNvSpPr>
            <a:spLocks/>
          </xdr:cNvSpPr>
        </xdr:nvSpPr>
        <xdr:spPr>
          <a:xfrm flipH="1">
            <a:off x="8874080" y="1487755"/>
            <a:ext cx="58047" cy="5339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Straight Connector 72"/>
          <xdr:cNvSpPr>
            <a:spLocks/>
          </xdr:cNvSpPr>
        </xdr:nvSpPr>
        <xdr:spPr>
          <a:xfrm flipV="1">
            <a:off x="8854943" y="1506167"/>
            <a:ext cx="19965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Straight Connector 73"/>
          <xdr:cNvSpPr>
            <a:spLocks/>
          </xdr:cNvSpPr>
        </xdr:nvSpPr>
        <xdr:spPr>
          <a:xfrm rot="5400000" flipH="1" flipV="1">
            <a:off x="8921921" y="1534705"/>
            <a:ext cx="190727" cy="0"/>
          </a:xfrm>
          <a:prstGeom prst="line">
            <a:avLst/>
          </a:prstGeom>
          <a:noFill/>
          <a:ln w="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793"/>
          <xdr:cNvSpPr>
            <a:spLocks/>
          </xdr:cNvSpPr>
        </xdr:nvSpPr>
        <xdr:spPr>
          <a:xfrm flipH="1">
            <a:off x="8986985" y="1484533"/>
            <a:ext cx="54858" cy="5017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Straight Arrow Connector 75"/>
          <xdr:cNvSpPr>
            <a:spLocks/>
          </xdr:cNvSpPr>
        </xdr:nvSpPr>
        <xdr:spPr>
          <a:xfrm>
            <a:off x="8388651" y="1162788"/>
            <a:ext cx="599610" cy="333713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Rectangle 79"/>
          <xdr:cNvSpPr>
            <a:spLocks/>
          </xdr:cNvSpPr>
        </xdr:nvSpPr>
        <xdr:spPr>
          <a:xfrm>
            <a:off x="8340810" y="1811342"/>
            <a:ext cx="352111" cy="29550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Rectangle 82"/>
          <xdr:cNvSpPr>
            <a:spLocks/>
          </xdr:cNvSpPr>
        </xdr:nvSpPr>
        <xdr:spPr>
          <a:xfrm>
            <a:off x="8846013" y="1811342"/>
            <a:ext cx="352111" cy="29550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Straight Arrow Connector 83"/>
          <xdr:cNvSpPr>
            <a:spLocks/>
          </xdr:cNvSpPr>
        </xdr:nvSpPr>
        <xdr:spPr>
          <a:xfrm rot="10800000">
            <a:off x="8864511" y="1773137"/>
            <a:ext cx="533270" cy="400455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none"/>
            <a:tailEnd type="stealth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Rectangle 84"/>
          <xdr:cNvSpPr>
            <a:spLocks/>
          </xdr:cNvSpPr>
        </xdr:nvSpPr>
        <xdr:spPr>
          <a:xfrm>
            <a:off x="8331879" y="1725727"/>
            <a:ext cx="38273" cy="123819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Rectangle 85"/>
          <xdr:cNvSpPr>
            <a:spLocks/>
          </xdr:cNvSpPr>
        </xdr:nvSpPr>
        <xdr:spPr>
          <a:xfrm>
            <a:off x="9178987" y="1697189"/>
            <a:ext cx="47841" cy="133485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3"/>
  <sheetViews>
    <sheetView tabSelected="1" zoomScale="80" zoomScaleNormal="80" zoomScalePageLayoutView="0" workbookViewId="0" topLeftCell="A1">
      <selection activeCell="L20" sqref="L20"/>
    </sheetView>
  </sheetViews>
  <sheetFormatPr defaultColWidth="9.140625" defaultRowHeight="15"/>
  <cols>
    <col min="1" max="1" width="12.28125" style="3" customWidth="1"/>
    <col min="2" max="2" width="13.8515625" style="3" customWidth="1"/>
    <col min="3" max="3" width="9.8515625" style="3" customWidth="1"/>
    <col min="4" max="4" width="12.7109375" style="3" customWidth="1"/>
    <col min="5" max="5" width="15.7109375" style="3" customWidth="1"/>
    <col min="6" max="6" width="12.00390625" style="3" customWidth="1"/>
    <col min="7" max="7" width="10.00390625" style="56" customWidth="1"/>
    <col min="8" max="8" width="9.7109375" style="56" bestFit="1" customWidth="1"/>
    <col min="9" max="9" width="10.00390625" style="3" customWidth="1"/>
    <col min="10" max="10" width="9.140625" style="56" customWidth="1"/>
    <col min="11" max="11" width="9.140625" style="3" customWidth="1"/>
    <col min="12" max="12" width="36.7109375" style="3" customWidth="1"/>
    <col min="13" max="21" width="9.140625" style="3" customWidth="1"/>
    <col min="22" max="22" width="5.421875" style="3" customWidth="1"/>
    <col min="23" max="16384" width="9.140625" style="3" customWidth="1"/>
  </cols>
  <sheetData>
    <row r="2" spans="1:10" ht="16.5">
      <c r="A2" s="23" t="s">
        <v>44</v>
      </c>
      <c r="J2" s="131" t="s">
        <v>70</v>
      </c>
    </row>
    <row r="3" ht="15">
      <c r="B3" s="48" t="s">
        <v>61</v>
      </c>
    </row>
    <row r="4" spans="2:8" ht="15">
      <c r="B4" s="1" t="s">
        <v>29</v>
      </c>
      <c r="C4" s="1"/>
      <c r="D4" s="1"/>
      <c r="E4" s="1" t="s">
        <v>0</v>
      </c>
      <c r="F4" s="2">
        <v>20</v>
      </c>
      <c r="G4" s="57" t="s">
        <v>4</v>
      </c>
      <c r="H4" s="58" t="str">
        <f>IF(F7&gt;F4/4," &gt; Dh/4  ; Hence OK"," &lt; Dh /4  ; NOT OK")</f>
        <v> &gt; Dh/4  ; Hence OK</v>
      </c>
    </row>
    <row r="5" spans="2:8" ht="15">
      <c r="B5" s="1" t="s">
        <v>31</v>
      </c>
      <c r="C5" s="1"/>
      <c r="D5" s="1"/>
      <c r="E5" s="1" t="s">
        <v>0</v>
      </c>
      <c r="F5" s="2">
        <v>200</v>
      </c>
      <c r="G5" s="57" t="s">
        <v>4</v>
      </c>
      <c r="H5" s="57"/>
    </row>
    <row r="6" spans="2:8" ht="15">
      <c r="B6" s="1" t="s">
        <v>28</v>
      </c>
      <c r="C6" s="1"/>
      <c r="D6" s="1"/>
      <c r="E6" s="1" t="s">
        <v>0</v>
      </c>
      <c r="F6" s="2">
        <v>100</v>
      </c>
      <c r="G6" s="57" t="s">
        <v>4</v>
      </c>
      <c r="H6" s="57"/>
    </row>
    <row r="7" spans="2:8" ht="18.75">
      <c r="B7" s="1" t="s">
        <v>12</v>
      </c>
      <c r="C7" s="1"/>
      <c r="D7" s="1"/>
      <c r="E7" s="1" t="s">
        <v>0</v>
      </c>
      <c r="F7" s="2">
        <v>60</v>
      </c>
      <c r="G7" s="57" t="s">
        <v>4</v>
      </c>
      <c r="H7" s="57"/>
    </row>
    <row r="8" spans="2:8" ht="18.75">
      <c r="B8" s="1" t="s">
        <v>32</v>
      </c>
      <c r="C8" s="1"/>
      <c r="D8" s="1"/>
      <c r="E8" s="1" t="s">
        <v>0</v>
      </c>
      <c r="F8" s="2">
        <v>57</v>
      </c>
      <c r="G8" s="57" t="s">
        <v>4</v>
      </c>
      <c r="H8" s="57"/>
    </row>
    <row r="9" spans="2:8" ht="15">
      <c r="B9" s="1" t="s">
        <v>30</v>
      </c>
      <c r="C9" s="1"/>
      <c r="D9" s="1"/>
      <c r="E9" s="1"/>
      <c r="F9" s="2">
        <v>100</v>
      </c>
      <c r="G9" s="57" t="s">
        <v>4</v>
      </c>
      <c r="H9" s="58" t="str">
        <f>IF(F9&gt;1.5*F7," &gt; 1.5xDh  ; Hence OK"," &lt; 1.5xDh  ; NOT OK")</f>
        <v> &gt; 1.5xDh  ; Hence OK</v>
      </c>
    </row>
    <row r="10" spans="2:8" ht="16.5">
      <c r="B10" s="1" t="s">
        <v>17</v>
      </c>
      <c r="C10" s="1"/>
      <c r="D10" s="1"/>
      <c r="E10" s="1" t="s">
        <v>0</v>
      </c>
      <c r="F10" s="5" t="str">
        <f>F4&amp;" x "&amp;F5&amp;" ="</f>
        <v>20 x 200 =</v>
      </c>
      <c r="G10" s="57">
        <f>F4*F5</f>
        <v>4000</v>
      </c>
      <c r="H10" s="57" t="s">
        <v>18</v>
      </c>
    </row>
    <row r="11" spans="2:8" ht="15">
      <c r="B11" s="1" t="s">
        <v>7</v>
      </c>
      <c r="C11" s="1"/>
      <c r="D11" s="1"/>
      <c r="E11" s="1" t="s">
        <v>0</v>
      </c>
      <c r="F11" s="2">
        <v>4.5</v>
      </c>
      <c r="G11" s="57" t="s">
        <v>4</v>
      </c>
      <c r="H11" s="57" t="s">
        <v>8</v>
      </c>
    </row>
    <row r="12" spans="2:9" ht="18.75">
      <c r="B12" s="1" t="s">
        <v>13</v>
      </c>
      <c r="C12" s="1"/>
      <c r="D12" s="1"/>
      <c r="E12" s="1"/>
      <c r="F12" s="5"/>
      <c r="G12" s="57"/>
      <c r="H12" s="57">
        <f>($F$7/2+$F$11)</f>
        <v>34.5</v>
      </c>
      <c r="I12" s="1" t="s">
        <v>4</v>
      </c>
    </row>
    <row r="13" spans="2:8" ht="16.5">
      <c r="B13" s="1" t="s">
        <v>1</v>
      </c>
      <c r="C13" s="1"/>
      <c r="D13" s="1"/>
      <c r="E13" s="1" t="s">
        <v>0</v>
      </c>
      <c r="F13" s="2">
        <v>15</v>
      </c>
      <c r="G13" s="57" t="s">
        <v>6</v>
      </c>
      <c r="H13" s="57"/>
    </row>
    <row r="14" spans="2:9" ht="18.75">
      <c r="B14" s="1" t="s">
        <v>5</v>
      </c>
      <c r="C14" s="1"/>
      <c r="D14" s="1"/>
      <c r="E14" s="1" t="s">
        <v>0</v>
      </c>
      <c r="F14" s="1" t="s">
        <v>35</v>
      </c>
      <c r="G14" s="57" t="s">
        <v>2</v>
      </c>
      <c r="H14" s="57"/>
      <c r="I14" s="67" t="s">
        <v>64</v>
      </c>
    </row>
    <row r="15" spans="5:6" ht="15">
      <c r="E15" s="1"/>
      <c r="F15" s="3" t="s">
        <v>3</v>
      </c>
    </row>
    <row r="16" spans="4:7" ht="18.75">
      <c r="D16" s="8" t="s">
        <v>45</v>
      </c>
      <c r="E16" s="1" t="s">
        <v>0</v>
      </c>
      <c r="F16" s="1">
        <f>60+0.2*F13</f>
        <v>63</v>
      </c>
      <c r="G16" s="57" t="s">
        <v>6</v>
      </c>
    </row>
    <row r="17" spans="4:7" ht="15">
      <c r="D17" s="8"/>
      <c r="E17" s="1"/>
      <c r="F17" s="1"/>
      <c r="G17" s="57"/>
    </row>
    <row r="18" spans="2:7" ht="15">
      <c r="B18" s="4" t="s">
        <v>27</v>
      </c>
      <c r="D18" s="8"/>
      <c r="E18" s="1"/>
      <c r="F18" s="1"/>
      <c r="G18" s="57"/>
    </row>
    <row r="19" spans="2:8" ht="18.75">
      <c r="B19" s="1" t="s">
        <v>46</v>
      </c>
      <c r="C19" s="1" t="s">
        <v>0</v>
      </c>
      <c r="D19" s="8" t="str">
        <f>F6&amp;" - "&amp;F7&amp;"/ 2 "</f>
        <v>100 - 60/ 2 </v>
      </c>
      <c r="E19" s="1" t="s">
        <v>0</v>
      </c>
      <c r="F19" s="1">
        <f>F6-F7/2</f>
        <v>70</v>
      </c>
      <c r="G19" s="57" t="s">
        <v>4</v>
      </c>
      <c r="H19" s="58" t="str">
        <f>IF(F19&gt;F7/2," &gt; Dh/2  ; Hence OK"," &lt; Dh /2  ; NOT OK")</f>
        <v> &gt; Dh/2  ; Hence OK</v>
      </c>
    </row>
    <row r="20" spans="2:8" ht="18.75">
      <c r="B20" s="1" t="s">
        <v>46</v>
      </c>
      <c r="C20" s="1" t="s">
        <v>0</v>
      </c>
      <c r="D20" s="8" t="str">
        <f>F6&amp;" - "&amp;F7&amp;"/ 2 "</f>
        <v>100 - 60/ 2 </v>
      </c>
      <c r="E20" s="1" t="s">
        <v>0</v>
      </c>
      <c r="F20" s="1">
        <f>F6-F7/2</f>
        <v>70</v>
      </c>
      <c r="G20" s="57" t="s">
        <v>4</v>
      </c>
      <c r="H20" s="58" t="str">
        <f>IF(F20&lt;5*F4," &lt; 5t  ; Hence OK"," &gt; 5t  ; NOT OK")</f>
        <v> &lt; 5t  ; Hence OK</v>
      </c>
    </row>
    <row r="21" spans="2:8" ht="18.75">
      <c r="B21" s="1" t="s">
        <v>46</v>
      </c>
      <c r="C21" s="1" t="s">
        <v>0</v>
      </c>
      <c r="D21" s="8" t="str">
        <f>F6&amp;" - "&amp;F7&amp;"/ 2 "</f>
        <v>100 - 60/ 2 </v>
      </c>
      <c r="E21" s="1" t="s">
        <v>0</v>
      </c>
      <c r="F21" s="1">
        <f>F6-F7/2</f>
        <v>70</v>
      </c>
      <c r="G21" s="57" t="s">
        <v>4</v>
      </c>
      <c r="H21" s="58" t="str">
        <f>IF(F20&gt;2*F4," &gt; 2t  ; Hence OK"," &lt; 2t  ; NOT OK")</f>
        <v> &gt; 2t  ; Hence OK</v>
      </c>
    </row>
    <row r="22" spans="2:7" ht="15">
      <c r="B22" s="1"/>
      <c r="C22" s="1"/>
      <c r="D22" s="8"/>
      <c r="E22" s="1"/>
      <c r="F22" s="1"/>
      <c r="G22" s="57"/>
    </row>
    <row r="23" spans="2:7" ht="15">
      <c r="B23" s="16" t="s">
        <v>24</v>
      </c>
      <c r="C23" s="24"/>
      <c r="D23" s="8"/>
      <c r="E23" s="1"/>
      <c r="F23" s="1"/>
      <c r="G23" s="57"/>
    </row>
    <row r="24" spans="2:6" ht="15">
      <c r="B24" s="1" t="s">
        <v>25</v>
      </c>
      <c r="C24" s="1"/>
      <c r="D24" s="1" t="s">
        <v>0</v>
      </c>
      <c r="E24" s="2">
        <v>345</v>
      </c>
      <c r="F24" s="1" t="s">
        <v>26</v>
      </c>
    </row>
    <row r="25" spans="2:8" ht="15">
      <c r="B25" s="1" t="s">
        <v>33</v>
      </c>
      <c r="C25" s="1"/>
      <c r="D25" s="1" t="s">
        <v>0</v>
      </c>
      <c r="E25" s="9" t="str">
        <f>F5&amp;" - "&amp;F7&amp;"- 2 x"&amp;F11&amp;" ="</f>
        <v>200 - 60- 2 x4.5 =</v>
      </c>
      <c r="G25" s="57">
        <f>$F$5-$F$7-2*$F$11</f>
        <v>131</v>
      </c>
      <c r="H25" s="57" t="s">
        <v>4</v>
      </c>
    </row>
    <row r="26" spans="2:9" ht="15">
      <c r="B26" s="1" t="s">
        <v>34</v>
      </c>
      <c r="C26" s="1"/>
      <c r="D26" s="1" t="s">
        <v>0</v>
      </c>
      <c r="E26" s="1" t="str">
        <f>0.9&amp;" x "&amp;E24&amp;" x "&amp;G25&amp;" x "&amp;F4&amp;"/1000 ="</f>
        <v>0.9 x 345 x 131 x 20/1000 =</v>
      </c>
      <c r="F26" s="1"/>
      <c r="H26" s="55">
        <f>0.9*$E$24*$G$25*$F$4/1000</f>
        <v>813.51</v>
      </c>
      <c r="I26" s="1" t="s">
        <v>23</v>
      </c>
    </row>
    <row r="27" spans="2:7" ht="15">
      <c r="B27" s="1"/>
      <c r="C27" s="1"/>
      <c r="D27" s="8"/>
      <c r="E27" s="1"/>
      <c r="F27" s="1"/>
      <c r="G27" s="57"/>
    </row>
    <row r="28" spans="2:7" ht="15">
      <c r="B28" s="16" t="s">
        <v>36</v>
      </c>
      <c r="C28" s="17"/>
      <c r="D28" s="8"/>
      <c r="E28" s="1"/>
      <c r="F28" s="1"/>
      <c r="G28" s="57"/>
    </row>
    <row r="29" spans="2:4" ht="18.75">
      <c r="B29" s="8" t="s">
        <v>45</v>
      </c>
      <c r="C29" s="22" t="s">
        <v>0</v>
      </c>
      <c r="D29" s="7" t="s">
        <v>20</v>
      </c>
    </row>
    <row r="30" spans="1:19" ht="18.75">
      <c r="A30" s="1"/>
      <c r="B30" s="8" t="s">
        <v>47</v>
      </c>
      <c r="C30" s="22" t="s">
        <v>0</v>
      </c>
      <c r="D30" s="1" t="s">
        <v>11</v>
      </c>
      <c r="E30" s="1"/>
      <c r="F30" s="1"/>
      <c r="G30" s="57"/>
      <c r="H30" s="59"/>
      <c r="I30" s="1"/>
      <c r="J30" s="57"/>
      <c r="K30" s="1"/>
      <c r="L30" s="1"/>
      <c r="M30" s="1"/>
      <c r="N30" s="1"/>
      <c r="O30" s="1"/>
      <c r="P30" s="1"/>
      <c r="Q30" s="1"/>
      <c r="R30" s="1"/>
      <c r="S30" s="1"/>
    </row>
    <row r="31" spans="1:19" ht="18.75">
      <c r="A31" s="1"/>
      <c r="B31" s="1" t="s">
        <v>9</v>
      </c>
      <c r="C31" s="22" t="s">
        <v>10</v>
      </c>
      <c r="D31" s="1" t="s">
        <v>48</v>
      </c>
      <c r="E31" s="1"/>
      <c r="F31" s="1"/>
      <c r="G31" s="57"/>
      <c r="H31" s="57"/>
      <c r="I31" s="1"/>
      <c r="J31" s="57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22" t="s">
        <v>10</v>
      </c>
      <c r="D32" s="1" t="str">
        <f>F11&amp;" / ("&amp;$F$7&amp;"/ 2 + "&amp;F11&amp;")"</f>
        <v>4.5 / (60/ 2 + 4.5)</v>
      </c>
      <c r="E32" s="1"/>
      <c r="F32" s="8" t="s">
        <v>0</v>
      </c>
      <c r="G32" s="65">
        <f>ROUND(F11/($F$7/2+F11),3)</f>
        <v>0.13</v>
      </c>
      <c r="H32" s="57"/>
      <c r="I32" s="1"/>
      <c r="J32" s="57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57"/>
      <c r="H33" s="57"/>
      <c r="I33" s="1"/>
      <c r="J33" s="57"/>
      <c r="K33" s="1"/>
      <c r="L33" s="1"/>
      <c r="M33" s="1"/>
      <c r="N33" s="1"/>
      <c r="O33" s="1"/>
      <c r="P33" s="1"/>
      <c r="Q33" s="1"/>
      <c r="R33" s="1"/>
      <c r="S33" s="1"/>
    </row>
    <row r="34" spans="1:19" ht="18.75">
      <c r="A34" s="1"/>
      <c r="B34" s="8" t="s">
        <v>47</v>
      </c>
      <c r="C34" s="22" t="s">
        <v>0</v>
      </c>
      <c r="D34" s="1" t="str">
        <f>"0.5 x (3 -"&amp;G32&amp;") [ 1 + 1.243 x (1 -"&amp;G32&amp;")^3 ]"</f>
        <v>0.5 x (3 -0.13) [ 1 + 1.243 x (1 -0.13)^3 ]</v>
      </c>
      <c r="E34" s="1"/>
      <c r="F34" s="1"/>
      <c r="G34" s="57"/>
      <c r="H34" s="57"/>
      <c r="I34" s="1"/>
      <c r="J34" s="57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"/>
      <c r="C35" s="22" t="s">
        <v>0</v>
      </c>
      <c r="D35" s="1">
        <f>ROUND(0.5*(3-G32)*(1+1.243*(1-G32)^3),3)</f>
        <v>2.61</v>
      </c>
      <c r="E35" s="1"/>
      <c r="F35" s="1"/>
      <c r="G35" s="57"/>
      <c r="H35" s="57"/>
      <c r="I35" s="1"/>
      <c r="J35" s="57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"/>
      <c r="C36" s="22"/>
      <c r="D36" s="1"/>
      <c r="E36" s="1"/>
      <c r="F36" s="1"/>
      <c r="G36" s="57"/>
      <c r="H36" s="57"/>
      <c r="I36" s="1"/>
      <c r="J36" s="57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9" t="s">
        <v>14</v>
      </c>
      <c r="C37" s="22" t="s">
        <v>0</v>
      </c>
      <c r="D37" s="18" t="s">
        <v>15</v>
      </c>
      <c r="E37" s="14" t="s">
        <v>0</v>
      </c>
      <c r="F37" s="1" t="str">
        <f>"P / "&amp;G10&amp;" ="</f>
        <v>P / 4000 =</v>
      </c>
      <c r="G37" s="66">
        <f>ROUND(1/$G$10,6)</f>
        <v>0.00025</v>
      </c>
      <c r="H37" s="57" t="s">
        <v>19</v>
      </c>
      <c r="I37" s="1"/>
      <c r="J37" s="57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 t="s">
        <v>16</v>
      </c>
      <c r="E38" s="1"/>
      <c r="F38" s="1"/>
      <c r="G38" s="57"/>
      <c r="H38" s="57"/>
      <c r="I38" s="1"/>
      <c r="J38" s="57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"/>
      <c r="C39" s="1"/>
      <c r="D39" s="1"/>
      <c r="E39" s="1"/>
      <c r="F39" s="1"/>
      <c r="G39" s="57"/>
      <c r="H39" s="57"/>
      <c r="I39" s="1"/>
      <c r="J39" s="57"/>
      <c r="K39" s="1"/>
      <c r="L39" s="1"/>
      <c r="M39" s="1"/>
      <c r="N39" s="1"/>
      <c r="O39" s="1"/>
      <c r="P39" s="1"/>
      <c r="Q39" s="1"/>
      <c r="R39" s="1"/>
      <c r="S39" s="1"/>
    </row>
    <row r="40" spans="1:19" ht="18">
      <c r="A40" s="1"/>
      <c r="B40" s="20" t="s">
        <v>43</v>
      </c>
      <c r="C40" s="21" t="s">
        <v>0</v>
      </c>
      <c r="D40" s="6" t="s">
        <v>21</v>
      </c>
      <c r="E40" s="6"/>
      <c r="F40" s="1"/>
      <c r="G40" s="57"/>
      <c r="H40" s="57"/>
      <c r="I40" s="1"/>
      <c r="J40" s="57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">
        <f>F16</f>
        <v>63</v>
      </c>
      <c r="C41" s="22" t="s">
        <v>0</v>
      </c>
      <c r="D41" s="1" t="str">
        <f>D35&amp;" x "&amp;G37&amp;"P x sqrt("&amp;ROUND(PI(),4)&amp;" x "&amp;F11/1000&amp;")"</f>
        <v>2.61 x 0.00025P x sqrt(3.1416 x 0.0045)</v>
      </c>
      <c r="E41" s="1"/>
      <c r="F41" s="1"/>
      <c r="G41" s="57"/>
      <c r="H41" s="57"/>
      <c r="I41" s="1"/>
      <c r="J41" s="57"/>
      <c r="K41" s="1"/>
      <c r="L41" s="1" t="s">
        <v>54</v>
      </c>
      <c r="M41" s="1"/>
      <c r="N41" s="1"/>
      <c r="O41" s="1"/>
      <c r="P41" s="1"/>
      <c r="Q41" s="1"/>
      <c r="R41" s="1"/>
      <c r="S41" s="1"/>
    </row>
    <row r="42" spans="1:19" ht="15">
      <c r="A42" s="1"/>
      <c r="B42" s="1"/>
      <c r="C42" s="1"/>
      <c r="D42" s="1"/>
      <c r="E42" s="1"/>
      <c r="F42" s="1"/>
      <c r="G42" s="57"/>
      <c r="H42" s="57"/>
      <c r="I42" s="1"/>
      <c r="J42" s="57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1"/>
      <c r="B43" s="1" t="s">
        <v>22</v>
      </c>
      <c r="C43" s="22" t="s">
        <v>0</v>
      </c>
      <c r="D43" s="55">
        <f>ROUND($B$41/($D$35*$G$37*SQRT(PI()*$F$11/1000))/1000,2)</f>
        <v>812.04</v>
      </c>
      <c r="E43" s="1" t="s">
        <v>23</v>
      </c>
      <c r="F43" s="1"/>
      <c r="G43" s="57"/>
      <c r="H43" s="57"/>
      <c r="I43" s="1"/>
      <c r="J43" s="57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1"/>
      <c r="B44" s="1"/>
      <c r="C44" s="1"/>
      <c r="D44" s="1"/>
      <c r="E44" s="1"/>
      <c r="F44" s="1"/>
      <c r="G44" s="57"/>
      <c r="H44" s="57"/>
      <c r="I44" s="1"/>
      <c r="J44" s="57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"/>
      <c r="B45" s="1"/>
      <c r="C45" s="1"/>
      <c r="D45" s="1"/>
      <c r="E45" s="1"/>
      <c r="F45" s="1"/>
      <c r="G45" s="57"/>
      <c r="H45" s="57"/>
      <c r="I45" s="1"/>
      <c r="J45" s="57"/>
      <c r="K45" s="1"/>
      <c r="L45" s="1"/>
      <c r="M45" s="1"/>
      <c r="N45" s="1"/>
      <c r="O45" s="1"/>
      <c r="P45" s="1"/>
      <c r="Q45" s="1"/>
      <c r="R45" s="1"/>
      <c r="S45" s="1"/>
    </row>
    <row r="46" spans="1:19" ht="26.25">
      <c r="A46" s="10" t="s">
        <v>55</v>
      </c>
      <c r="B46" s="10"/>
      <c r="C46" s="10"/>
      <c r="D46" s="15"/>
      <c r="E46" s="10"/>
      <c r="F46" s="10"/>
      <c r="G46" s="127" t="s">
        <v>40</v>
      </c>
      <c r="H46" s="128"/>
      <c r="I46" s="10"/>
      <c r="J46" s="60" t="s">
        <v>41</v>
      </c>
      <c r="K46" s="10"/>
      <c r="L46" s="10"/>
      <c r="M46" s="10"/>
      <c r="N46" s="10"/>
      <c r="O46" s="10"/>
      <c r="P46" s="1"/>
      <c r="Q46" s="1"/>
      <c r="R46" s="1"/>
      <c r="S46" s="1"/>
    </row>
    <row r="47" spans="1:19" ht="58.5" customHeight="1">
      <c r="A47" s="29" t="s">
        <v>38</v>
      </c>
      <c r="B47" s="27" t="s">
        <v>52</v>
      </c>
      <c r="C47" s="29" t="s">
        <v>37</v>
      </c>
      <c r="D47" s="28" t="s">
        <v>39</v>
      </c>
      <c r="E47" s="31" t="s">
        <v>49</v>
      </c>
      <c r="F47" s="31" t="s">
        <v>53</v>
      </c>
      <c r="G47" s="61" t="s">
        <v>62</v>
      </c>
      <c r="H47" s="62" t="s">
        <v>50</v>
      </c>
      <c r="I47" s="29" t="s">
        <v>42</v>
      </c>
      <c r="J47" s="61" t="s">
        <v>63</v>
      </c>
      <c r="K47" s="30" t="s">
        <v>51</v>
      </c>
      <c r="L47" s="32"/>
      <c r="M47" s="10"/>
      <c r="N47" s="10"/>
      <c r="O47" s="10"/>
      <c r="P47" s="1"/>
      <c r="Q47" s="1"/>
      <c r="R47" s="1"/>
      <c r="S47" s="1"/>
    </row>
    <row r="48" spans="1:19" ht="15">
      <c r="A48" s="33">
        <v>1</v>
      </c>
      <c r="B48" s="34">
        <f>($F$7/2+$A48)</f>
        <v>31</v>
      </c>
      <c r="C48" s="35">
        <v>30</v>
      </c>
      <c r="D48" s="34">
        <f>60+0.2*C48</f>
        <v>66</v>
      </c>
      <c r="E48" s="36">
        <f>ROUND($A48/($F$7/2+$A48),3)</f>
        <v>0.032</v>
      </c>
      <c r="F48" s="34">
        <f>ROUND(0.5*(3-E48)*(1+1.243*(1-E48)^3),3)</f>
        <v>3.157</v>
      </c>
      <c r="G48" s="49">
        <f>ROUND($D48/($F48*$G$37*SQRT(PI()*$A48/1000))/1000,2)</f>
        <v>1491.95</v>
      </c>
      <c r="H48" s="50">
        <f aca="true" t="shared" si="0" ref="H48:H60">G48*1000/(I48*$F$4*0.9)</f>
        <v>600.6239935587762</v>
      </c>
      <c r="I48" s="34">
        <f aca="true" t="shared" si="1" ref="I48:I60">$F$5-$F$7-2*$A48</f>
        <v>138</v>
      </c>
      <c r="J48" s="49">
        <f aca="true" t="shared" si="2" ref="J48:J60">0.9*$E$24*$I48*$F$4/1000</f>
        <v>856.98</v>
      </c>
      <c r="K48" s="34">
        <f>J48*1000/(0.9*$I48*$F$4)</f>
        <v>345</v>
      </c>
      <c r="L48" s="37" t="str">
        <f>IF($H48&gt;$K48,"Net Section will Yeild before Fracture","Net Section will Fracture")</f>
        <v>Net Section will Yeild before Fracture</v>
      </c>
      <c r="M48" s="13"/>
      <c r="N48" s="13"/>
      <c r="O48" s="13"/>
      <c r="P48" s="1"/>
      <c r="Q48" s="1"/>
      <c r="R48" s="1"/>
      <c r="S48" s="1"/>
    </row>
    <row r="49" spans="1:19" ht="15">
      <c r="A49" s="38">
        <v>1.5</v>
      </c>
      <c r="B49" s="39">
        <f aca="true" t="shared" si="3" ref="B49:B60">($F$7/2+$A49)</f>
        <v>31.5</v>
      </c>
      <c r="C49" s="40">
        <v>30</v>
      </c>
      <c r="D49" s="39">
        <f aca="true" t="shared" si="4" ref="D49:D60">60+0.2*C49</f>
        <v>66</v>
      </c>
      <c r="E49" s="41">
        <f aca="true" t="shared" si="5" ref="E49:E60">ROUND($A49/($F$7/2+$A49),3)</f>
        <v>0.048</v>
      </c>
      <c r="F49" s="39">
        <f aca="true" t="shared" si="6" ref="F49:F60">ROUND(0.5*(3-E49)*(1+1.243*(1-E49)^3),3)</f>
        <v>3.059</v>
      </c>
      <c r="G49" s="51">
        <f aca="true" t="shared" si="7" ref="G49:G60">ROUND($D49/($F49*$G$37*SQRT(PI()*$A49/1000))/1000,2)</f>
        <v>1257.2</v>
      </c>
      <c r="H49" s="52">
        <f t="shared" si="0"/>
        <v>509.8134630981346</v>
      </c>
      <c r="I49" s="39">
        <f t="shared" si="1"/>
        <v>137</v>
      </c>
      <c r="J49" s="51">
        <f t="shared" si="2"/>
        <v>850.77</v>
      </c>
      <c r="K49" s="39">
        <f aca="true" t="shared" si="8" ref="K49:K60">J49*1000/(0.9*$I49*$F$4)</f>
        <v>345</v>
      </c>
      <c r="L49" s="42" t="str">
        <f aca="true" t="shared" si="9" ref="L49:L60">IF($H49&gt;$K49,"Net Section will Yeild before Fracture","Net Section will Fracture")</f>
        <v>Net Section will Yeild before Fracture</v>
      </c>
      <c r="M49" s="13"/>
      <c r="N49" s="13"/>
      <c r="O49" s="13"/>
      <c r="P49" s="1"/>
      <c r="Q49" s="1"/>
      <c r="R49" s="1"/>
      <c r="S49" s="1"/>
    </row>
    <row r="50" spans="1:19" ht="15">
      <c r="A50" s="38">
        <v>2</v>
      </c>
      <c r="B50" s="39">
        <f t="shared" si="3"/>
        <v>32</v>
      </c>
      <c r="C50" s="40">
        <v>30</v>
      </c>
      <c r="D50" s="39">
        <f t="shared" si="4"/>
        <v>66</v>
      </c>
      <c r="E50" s="41">
        <f t="shared" si="5"/>
        <v>0.063</v>
      </c>
      <c r="F50" s="39">
        <f t="shared" si="6"/>
        <v>2.97</v>
      </c>
      <c r="G50" s="51">
        <f t="shared" si="7"/>
        <v>1121.39</v>
      </c>
      <c r="H50" s="52">
        <f t="shared" si="0"/>
        <v>458.0841503267974</v>
      </c>
      <c r="I50" s="39">
        <f t="shared" si="1"/>
        <v>136</v>
      </c>
      <c r="J50" s="51">
        <f t="shared" si="2"/>
        <v>844.56</v>
      </c>
      <c r="K50" s="39">
        <f t="shared" si="8"/>
        <v>345</v>
      </c>
      <c r="L50" s="42" t="str">
        <f t="shared" si="9"/>
        <v>Net Section will Yeild before Fracture</v>
      </c>
      <c r="M50" s="13"/>
      <c r="N50" s="13"/>
      <c r="O50" s="13"/>
      <c r="P50" s="1"/>
      <c r="Q50" s="1"/>
      <c r="R50" s="1"/>
      <c r="S50" s="1"/>
    </row>
    <row r="51" spans="1:19" ht="15">
      <c r="A51" s="38">
        <v>2.5</v>
      </c>
      <c r="B51" s="39">
        <f t="shared" si="3"/>
        <v>32.5</v>
      </c>
      <c r="C51" s="40">
        <v>30</v>
      </c>
      <c r="D51" s="39">
        <f t="shared" si="4"/>
        <v>66</v>
      </c>
      <c r="E51" s="41">
        <f t="shared" si="5"/>
        <v>0.077</v>
      </c>
      <c r="F51" s="39">
        <f t="shared" si="6"/>
        <v>2.89</v>
      </c>
      <c r="G51" s="51">
        <f t="shared" si="7"/>
        <v>1030.77</v>
      </c>
      <c r="H51" s="52">
        <f t="shared" si="0"/>
        <v>424.18518518518516</v>
      </c>
      <c r="I51" s="39">
        <f t="shared" si="1"/>
        <v>135</v>
      </c>
      <c r="J51" s="51">
        <f t="shared" si="2"/>
        <v>838.35</v>
      </c>
      <c r="K51" s="39">
        <f t="shared" si="8"/>
        <v>345</v>
      </c>
      <c r="L51" s="42" t="str">
        <f t="shared" si="9"/>
        <v>Net Section will Yeild before Fracture</v>
      </c>
      <c r="M51" s="13"/>
      <c r="N51" s="13"/>
      <c r="O51" s="13"/>
      <c r="P51" s="1"/>
      <c r="Q51" s="1"/>
      <c r="R51" s="1"/>
      <c r="S51" s="1"/>
    </row>
    <row r="52" spans="1:19" ht="15">
      <c r="A52" s="38">
        <v>3</v>
      </c>
      <c r="B52" s="39">
        <f t="shared" si="3"/>
        <v>33</v>
      </c>
      <c r="C52" s="40">
        <v>30</v>
      </c>
      <c r="D52" s="39">
        <f t="shared" si="4"/>
        <v>66</v>
      </c>
      <c r="E52" s="41">
        <f t="shared" si="5"/>
        <v>0.091</v>
      </c>
      <c r="F52" s="39">
        <f t="shared" si="6"/>
        <v>2.812</v>
      </c>
      <c r="G52" s="51">
        <f t="shared" si="7"/>
        <v>967.06</v>
      </c>
      <c r="H52" s="52">
        <f t="shared" si="0"/>
        <v>400.9369817578773</v>
      </c>
      <c r="I52" s="39">
        <f t="shared" si="1"/>
        <v>134</v>
      </c>
      <c r="J52" s="51">
        <f t="shared" si="2"/>
        <v>832.14</v>
      </c>
      <c r="K52" s="39">
        <f t="shared" si="8"/>
        <v>345</v>
      </c>
      <c r="L52" s="42" t="str">
        <f t="shared" si="9"/>
        <v>Net Section will Yeild before Fracture</v>
      </c>
      <c r="M52" s="13"/>
      <c r="N52" s="13"/>
      <c r="O52" s="13"/>
      <c r="P52" s="1"/>
      <c r="Q52" s="1"/>
      <c r="R52" s="1"/>
      <c r="S52" s="1"/>
    </row>
    <row r="53" spans="1:19" ht="15">
      <c r="A53" s="38">
        <v>3.5</v>
      </c>
      <c r="B53" s="39">
        <f t="shared" si="3"/>
        <v>33.5</v>
      </c>
      <c r="C53" s="40">
        <v>30</v>
      </c>
      <c r="D53" s="39">
        <f t="shared" si="4"/>
        <v>66</v>
      </c>
      <c r="E53" s="41">
        <f t="shared" si="5"/>
        <v>0.104</v>
      </c>
      <c r="F53" s="39">
        <f t="shared" si="6"/>
        <v>2.743</v>
      </c>
      <c r="G53" s="51">
        <f t="shared" si="7"/>
        <v>917.84</v>
      </c>
      <c r="H53" s="52">
        <f t="shared" si="0"/>
        <v>383.39181286549706</v>
      </c>
      <c r="I53" s="39">
        <f t="shared" si="1"/>
        <v>133</v>
      </c>
      <c r="J53" s="51">
        <f t="shared" si="2"/>
        <v>825.93</v>
      </c>
      <c r="K53" s="39">
        <f t="shared" si="8"/>
        <v>345</v>
      </c>
      <c r="L53" s="42" t="str">
        <f t="shared" si="9"/>
        <v>Net Section will Yeild before Fracture</v>
      </c>
      <c r="M53" s="13"/>
      <c r="N53" s="13"/>
      <c r="O53" s="13"/>
      <c r="P53" s="1"/>
      <c r="Q53" s="1"/>
      <c r="R53" s="1"/>
      <c r="S53" s="1"/>
    </row>
    <row r="54" spans="1:19" ht="15">
      <c r="A54" s="38">
        <v>4</v>
      </c>
      <c r="B54" s="39">
        <f t="shared" si="3"/>
        <v>34</v>
      </c>
      <c r="C54" s="40">
        <v>30</v>
      </c>
      <c r="D54" s="39">
        <f t="shared" si="4"/>
        <v>66</v>
      </c>
      <c r="E54" s="41">
        <f t="shared" si="5"/>
        <v>0.118</v>
      </c>
      <c r="F54" s="39">
        <f t="shared" si="6"/>
        <v>2.67</v>
      </c>
      <c r="G54" s="51">
        <f t="shared" si="7"/>
        <v>882.04</v>
      </c>
      <c r="H54" s="52">
        <f t="shared" si="0"/>
        <v>371.22895622895624</v>
      </c>
      <c r="I54" s="39">
        <f t="shared" si="1"/>
        <v>132</v>
      </c>
      <c r="J54" s="51">
        <f t="shared" si="2"/>
        <v>819.72</v>
      </c>
      <c r="K54" s="39">
        <f t="shared" si="8"/>
        <v>345</v>
      </c>
      <c r="L54" s="42" t="str">
        <f t="shared" si="9"/>
        <v>Net Section will Yeild before Fracture</v>
      </c>
      <c r="M54" s="13"/>
      <c r="N54" s="13"/>
      <c r="O54" s="13"/>
      <c r="P54" s="1"/>
      <c r="Q54" s="1"/>
      <c r="R54" s="1"/>
      <c r="S54" s="1"/>
    </row>
    <row r="55" spans="1:19" ht="15">
      <c r="A55" s="38">
        <v>5</v>
      </c>
      <c r="B55" s="39">
        <f t="shared" si="3"/>
        <v>35</v>
      </c>
      <c r="C55" s="40">
        <v>30</v>
      </c>
      <c r="D55" s="39">
        <f t="shared" si="4"/>
        <v>66</v>
      </c>
      <c r="E55" s="41">
        <f t="shared" si="5"/>
        <v>0.143</v>
      </c>
      <c r="F55" s="39">
        <f t="shared" si="6"/>
        <v>2.546</v>
      </c>
      <c r="G55" s="51">
        <f t="shared" si="7"/>
        <v>827.34</v>
      </c>
      <c r="H55" s="52">
        <f t="shared" si="0"/>
        <v>353.56410256410254</v>
      </c>
      <c r="I55" s="39">
        <f t="shared" si="1"/>
        <v>130</v>
      </c>
      <c r="J55" s="51">
        <f t="shared" si="2"/>
        <v>807.3</v>
      </c>
      <c r="K55" s="39">
        <f t="shared" si="8"/>
        <v>345</v>
      </c>
      <c r="L55" s="42" t="str">
        <f t="shared" si="9"/>
        <v>Net Section will Yeild before Fracture</v>
      </c>
      <c r="M55" s="13"/>
      <c r="N55" s="13"/>
      <c r="O55" s="13"/>
      <c r="P55" s="1"/>
      <c r="Q55" s="1"/>
      <c r="R55" s="1"/>
      <c r="S55" s="1"/>
    </row>
    <row r="56" spans="1:19" ht="15">
      <c r="A56" s="38">
        <v>5.8</v>
      </c>
      <c r="B56" s="39">
        <f t="shared" si="3"/>
        <v>35.8</v>
      </c>
      <c r="C56" s="40">
        <v>30</v>
      </c>
      <c r="D56" s="39">
        <f t="shared" si="4"/>
        <v>66</v>
      </c>
      <c r="E56" s="41">
        <f t="shared" si="5"/>
        <v>0.162</v>
      </c>
      <c r="F56" s="39">
        <f t="shared" si="6"/>
        <v>2.457</v>
      </c>
      <c r="G56" s="51">
        <f t="shared" si="7"/>
        <v>795.99</v>
      </c>
      <c r="H56" s="52">
        <f t="shared" si="0"/>
        <v>344.40550363447556</v>
      </c>
      <c r="I56" s="39">
        <f t="shared" si="1"/>
        <v>128.4</v>
      </c>
      <c r="J56" s="51">
        <f t="shared" si="2"/>
        <v>797.3640000000001</v>
      </c>
      <c r="K56" s="39">
        <f t="shared" si="8"/>
        <v>345.00000000000006</v>
      </c>
      <c r="L56" s="42" t="str">
        <f t="shared" si="9"/>
        <v>Net Section will Fracture</v>
      </c>
      <c r="M56" s="13"/>
      <c r="N56" s="13"/>
      <c r="O56" s="13"/>
      <c r="P56" s="1"/>
      <c r="Q56" s="1"/>
      <c r="R56" s="1"/>
      <c r="S56" s="1"/>
    </row>
    <row r="57" spans="1:19" ht="15">
      <c r="A57" s="38">
        <v>7</v>
      </c>
      <c r="B57" s="39">
        <f t="shared" si="3"/>
        <v>37</v>
      </c>
      <c r="C57" s="40">
        <v>30</v>
      </c>
      <c r="D57" s="39">
        <f t="shared" si="4"/>
        <v>66</v>
      </c>
      <c r="E57" s="41">
        <f t="shared" si="5"/>
        <v>0.189</v>
      </c>
      <c r="F57" s="39">
        <f t="shared" si="6"/>
        <v>2.337</v>
      </c>
      <c r="G57" s="51">
        <f t="shared" si="7"/>
        <v>761.77</v>
      </c>
      <c r="H57" s="52">
        <f t="shared" si="0"/>
        <v>335.8774250440917</v>
      </c>
      <c r="I57" s="39">
        <f t="shared" si="1"/>
        <v>126</v>
      </c>
      <c r="J57" s="51">
        <f t="shared" si="2"/>
        <v>782.46</v>
      </c>
      <c r="K57" s="39">
        <f t="shared" si="8"/>
        <v>345</v>
      </c>
      <c r="L57" s="42" t="str">
        <f t="shared" si="9"/>
        <v>Net Section will Fracture</v>
      </c>
      <c r="M57" s="13"/>
      <c r="N57" s="13"/>
      <c r="O57" s="13"/>
      <c r="P57" s="1"/>
      <c r="Q57" s="1"/>
      <c r="R57" s="1"/>
      <c r="S57" s="1"/>
    </row>
    <row r="58" spans="1:19" s="25" customFormat="1" ht="12.75">
      <c r="A58" s="38">
        <v>8</v>
      </c>
      <c r="B58" s="39">
        <f t="shared" si="3"/>
        <v>38</v>
      </c>
      <c r="C58" s="40">
        <v>30</v>
      </c>
      <c r="D58" s="39">
        <f t="shared" si="4"/>
        <v>66</v>
      </c>
      <c r="E58" s="41">
        <f t="shared" si="5"/>
        <v>0.211</v>
      </c>
      <c r="F58" s="39">
        <f t="shared" si="6"/>
        <v>2.246</v>
      </c>
      <c r="G58" s="51">
        <f t="shared" si="7"/>
        <v>741.44</v>
      </c>
      <c r="H58" s="52">
        <f t="shared" si="0"/>
        <v>332.18637992831543</v>
      </c>
      <c r="I58" s="39">
        <f t="shared" si="1"/>
        <v>124</v>
      </c>
      <c r="J58" s="51">
        <f t="shared" si="2"/>
        <v>770.04</v>
      </c>
      <c r="K58" s="39">
        <f t="shared" si="8"/>
        <v>345</v>
      </c>
      <c r="L58" s="42" t="str">
        <f t="shared" si="9"/>
        <v>Net Section will Fracture</v>
      </c>
      <c r="M58" s="13"/>
      <c r="N58" s="13"/>
      <c r="O58" s="13"/>
      <c r="P58" s="10"/>
      <c r="Q58" s="10"/>
      <c r="R58" s="10"/>
      <c r="S58" s="10"/>
    </row>
    <row r="59" spans="1:19" s="25" customFormat="1" ht="12.75">
      <c r="A59" s="38">
        <v>9</v>
      </c>
      <c r="B59" s="39">
        <f t="shared" si="3"/>
        <v>39</v>
      </c>
      <c r="C59" s="40">
        <v>30</v>
      </c>
      <c r="D59" s="39">
        <f t="shared" si="4"/>
        <v>66</v>
      </c>
      <c r="E59" s="41">
        <f t="shared" si="5"/>
        <v>0.231</v>
      </c>
      <c r="F59" s="39">
        <f t="shared" si="6"/>
        <v>2.167</v>
      </c>
      <c r="G59" s="51">
        <f t="shared" si="7"/>
        <v>724.52</v>
      </c>
      <c r="H59" s="52">
        <f t="shared" si="0"/>
        <v>329.92714025500914</v>
      </c>
      <c r="I59" s="39">
        <f t="shared" si="1"/>
        <v>122</v>
      </c>
      <c r="J59" s="51">
        <f t="shared" si="2"/>
        <v>757.62</v>
      </c>
      <c r="K59" s="39">
        <f t="shared" si="8"/>
        <v>345</v>
      </c>
      <c r="L59" s="42" t="str">
        <f t="shared" si="9"/>
        <v>Net Section will Fracture</v>
      </c>
      <c r="M59" s="13"/>
      <c r="N59" s="13"/>
      <c r="O59" s="13"/>
      <c r="P59" s="10"/>
      <c r="Q59" s="10"/>
      <c r="R59" s="10"/>
      <c r="S59" s="10"/>
    </row>
    <row r="60" spans="1:19" s="25" customFormat="1" ht="12.75">
      <c r="A60" s="43">
        <v>10</v>
      </c>
      <c r="B60" s="44">
        <f t="shared" si="3"/>
        <v>40</v>
      </c>
      <c r="C60" s="45">
        <v>30</v>
      </c>
      <c r="D60" s="44">
        <f t="shared" si="4"/>
        <v>66</v>
      </c>
      <c r="E60" s="46">
        <f t="shared" si="5"/>
        <v>0.25</v>
      </c>
      <c r="F60" s="44">
        <f t="shared" si="6"/>
        <v>2.096</v>
      </c>
      <c r="G60" s="53">
        <f t="shared" si="7"/>
        <v>710.62</v>
      </c>
      <c r="H60" s="54">
        <f t="shared" si="0"/>
        <v>328.99074074074076</v>
      </c>
      <c r="I60" s="44">
        <f t="shared" si="1"/>
        <v>120</v>
      </c>
      <c r="J60" s="53">
        <f t="shared" si="2"/>
        <v>745.2</v>
      </c>
      <c r="K60" s="44">
        <f t="shared" si="8"/>
        <v>345</v>
      </c>
      <c r="L60" s="47" t="str">
        <f t="shared" si="9"/>
        <v>Net Section will Fracture</v>
      </c>
      <c r="M60" s="13"/>
      <c r="N60" s="13"/>
      <c r="O60" s="10"/>
      <c r="P60" s="10"/>
      <c r="Q60" s="10"/>
      <c r="R60" s="10"/>
      <c r="S60" s="10"/>
    </row>
    <row r="61" spans="1:19" s="25" customFormat="1" ht="12.75">
      <c r="A61" s="13"/>
      <c r="B61" s="13"/>
      <c r="C61" s="13"/>
      <c r="D61" s="13"/>
      <c r="E61" s="13"/>
      <c r="F61" s="13"/>
      <c r="G61" s="63"/>
      <c r="H61" s="63"/>
      <c r="I61" s="13"/>
      <c r="J61" s="63"/>
      <c r="K61" s="13"/>
      <c r="L61" s="10"/>
      <c r="M61" s="10"/>
      <c r="N61" s="10"/>
      <c r="O61" s="10"/>
      <c r="P61" s="10"/>
      <c r="Q61" s="10"/>
      <c r="R61" s="10"/>
      <c r="S61" s="10"/>
    </row>
    <row r="62" spans="1:19" s="26" customFormat="1" ht="12.75">
      <c r="A62" s="12"/>
      <c r="B62" s="12"/>
      <c r="C62" s="12"/>
      <c r="D62" s="12"/>
      <c r="E62" s="12"/>
      <c r="F62" s="12"/>
      <c r="G62" s="64"/>
      <c r="H62" s="64"/>
      <c r="I62" s="12"/>
      <c r="J62" s="64"/>
      <c r="K62" s="12"/>
      <c r="L62" s="11"/>
      <c r="M62" s="11"/>
      <c r="N62" s="11"/>
      <c r="O62" s="11"/>
      <c r="P62" s="11"/>
      <c r="Q62" s="11"/>
      <c r="R62" s="11"/>
      <c r="S62" s="11"/>
    </row>
    <row r="63" spans="1:19" s="26" customFormat="1" ht="12.75">
      <c r="A63" s="12"/>
      <c r="B63" s="12"/>
      <c r="C63" s="12"/>
      <c r="D63" s="12"/>
      <c r="E63" s="12"/>
      <c r="F63" s="12"/>
      <c r="G63" s="64"/>
      <c r="H63" s="64"/>
      <c r="I63" s="12"/>
      <c r="J63" s="64"/>
      <c r="K63" s="12"/>
      <c r="L63" s="11"/>
      <c r="M63" s="11"/>
      <c r="N63" s="11"/>
      <c r="O63" s="11"/>
      <c r="P63" s="11"/>
      <c r="Q63" s="11"/>
      <c r="R63" s="11"/>
      <c r="S63" s="11"/>
    </row>
    <row r="64" spans="1:19" s="26" customFormat="1" ht="25.5">
      <c r="A64" s="10" t="s">
        <v>56</v>
      </c>
      <c r="B64" s="10"/>
      <c r="C64" s="10"/>
      <c r="D64" s="15"/>
      <c r="E64" s="10"/>
      <c r="F64" s="10"/>
      <c r="G64" s="127" t="s">
        <v>40</v>
      </c>
      <c r="H64" s="128"/>
      <c r="I64" s="10"/>
      <c r="J64" s="60" t="s">
        <v>41</v>
      </c>
      <c r="K64" s="10"/>
      <c r="L64" s="10"/>
      <c r="M64" s="11"/>
      <c r="N64" s="11"/>
      <c r="O64" s="11"/>
      <c r="P64" s="11"/>
      <c r="Q64" s="11"/>
      <c r="R64" s="11"/>
      <c r="S64" s="11"/>
    </row>
    <row r="65" spans="1:19" s="26" customFormat="1" ht="55.5" customHeight="1">
      <c r="A65" s="29" t="s">
        <v>38</v>
      </c>
      <c r="B65" s="27" t="s">
        <v>52</v>
      </c>
      <c r="C65" s="29" t="s">
        <v>37</v>
      </c>
      <c r="D65" s="28" t="s">
        <v>39</v>
      </c>
      <c r="E65" s="31" t="s">
        <v>49</v>
      </c>
      <c r="F65" s="31" t="s">
        <v>53</v>
      </c>
      <c r="G65" s="61" t="s">
        <v>62</v>
      </c>
      <c r="H65" s="62" t="s">
        <v>50</v>
      </c>
      <c r="I65" s="29" t="s">
        <v>42</v>
      </c>
      <c r="J65" s="61" t="s">
        <v>63</v>
      </c>
      <c r="K65" s="30" t="s">
        <v>51</v>
      </c>
      <c r="L65" s="32"/>
      <c r="M65" s="11"/>
      <c r="N65" s="11"/>
      <c r="O65" s="11"/>
      <c r="P65" s="11"/>
      <c r="Q65" s="11"/>
      <c r="R65" s="11"/>
      <c r="S65" s="11"/>
    </row>
    <row r="66" spans="1:19" ht="15">
      <c r="A66" s="33">
        <v>1</v>
      </c>
      <c r="B66" s="34">
        <f>($F$7/2+$A66)</f>
        <v>31</v>
      </c>
      <c r="C66" s="35">
        <v>15</v>
      </c>
      <c r="D66" s="34">
        <f>60+0.2*C66</f>
        <v>63</v>
      </c>
      <c r="E66" s="36">
        <f>ROUND($A66/($F$7/2+$A66),3)</f>
        <v>0.032</v>
      </c>
      <c r="F66" s="34">
        <f>ROUND(0.5*(3-E66)*(1+1.243*(1-E66)^3),3)</f>
        <v>3.157</v>
      </c>
      <c r="G66" s="49">
        <f>ROUND($D66/($F66*$G$37*SQRT(PI()*$A66/1000))/1000,2)</f>
        <v>1424.13</v>
      </c>
      <c r="H66" s="50">
        <f aca="true" t="shared" si="10" ref="H66:H78">G66*1000/(I66*$F$4*0.9)</f>
        <v>573.3212560386473</v>
      </c>
      <c r="I66" s="34">
        <f aca="true" t="shared" si="11" ref="I66:I78">$F$5-$F$7-2*$A66</f>
        <v>138</v>
      </c>
      <c r="J66" s="49">
        <f aca="true" t="shared" si="12" ref="J66:J78">0.9*$E$24*$I66*$F$4/1000</f>
        <v>856.98</v>
      </c>
      <c r="K66" s="34">
        <f>J66*1000/(0.9*$I66*$F$4)</f>
        <v>345</v>
      </c>
      <c r="L66" s="37" t="str">
        <f>IF($H66&gt;$K66,"Net Section will Yeild before Fracture","Net Section will Fracture")</f>
        <v>Net Section will Yeild before Fracture</v>
      </c>
      <c r="M66" s="1"/>
      <c r="N66" s="1"/>
      <c r="O66" s="1"/>
      <c r="P66" s="1"/>
      <c r="Q66" s="1"/>
      <c r="R66" s="1"/>
      <c r="S66" s="1"/>
    </row>
    <row r="67" spans="1:19" ht="15">
      <c r="A67" s="38">
        <v>1.5</v>
      </c>
      <c r="B67" s="39">
        <f aca="true" t="shared" si="13" ref="B67:B78">($F$7/2+$A67)</f>
        <v>31.5</v>
      </c>
      <c r="C67" s="40">
        <v>15</v>
      </c>
      <c r="D67" s="39">
        <f aca="true" t="shared" si="14" ref="D67:D78">60+0.2*C67</f>
        <v>63</v>
      </c>
      <c r="E67" s="41">
        <f aca="true" t="shared" si="15" ref="E67:E78">ROUND($A67/($F$7/2+$A67),3)</f>
        <v>0.048</v>
      </c>
      <c r="F67" s="39">
        <f aca="true" t="shared" si="16" ref="F67:F78">ROUND(0.5*(3-E67)*(1+1.243*(1-E67)^3),3)</f>
        <v>3.059</v>
      </c>
      <c r="G67" s="51">
        <f aca="true" t="shared" si="17" ref="G67:G78">ROUND($D67/($F67*$G$37*SQRT(PI()*$A67/1000))/1000,2)</f>
        <v>1200.05</v>
      </c>
      <c r="H67" s="52">
        <f t="shared" si="10"/>
        <v>486.6382806163828</v>
      </c>
      <c r="I67" s="39">
        <f t="shared" si="11"/>
        <v>137</v>
      </c>
      <c r="J67" s="51">
        <f t="shared" si="12"/>
        <v>850.77</v>
      </c>
      <c r="K67" s="39">
        <f aca="true" t="shared" si="18" ref="K67:K78">J67*1000/(0.9*$I67*$F$4)</f>
        <v>345</v>
      </c>
      <c r="L67" s="42" t="str">
        <f aca="true" t="shared" si="19" ref="L67:L78">IF($H67&gt;$K67,"Net Section will Yeild before Fracture","Net Section will Fracture")</f>
        <v>Net Section will Yeild before Fracture</v>
      </c>
      <c r="M67" s="1"/>
      <c r="N67" s="1"/>
      <c r="O67" s="1"/>
      <c r="P67" s="1"/>
      <c r="Q67" s="1"/>
      <c r="R67" s="1"/>
      <c r="S67" s="1"/>
    </row>
    <row r="68" spans="1:19" ht="15">
      <c r="A68" s="38">
        <v>2</v>
      </c>
      <c r="B68" s="39">
        <f t="shared" si="13"/>
        <v>32</v>
      </c>
      <c r="C68" s="40">
        <v>15</v>
      </c>
      <c r="D68" s="39">
        <f t="shared" si="14"/>
        <v>63</v>
      </c>
      <c r="E68" s="41">
        <f t="shared" si="15"/>
        <v>0.063</v>
      </c>
      <c r="F68" s="39">
        <f t="shared" si="16"/>
        <v>2.97</v>
      </c>
      <c r="G68" s="51">
        <f t="shared" si="17"/>
        <v>1070.42</v>
      </c>
      <c r="H68" s="52">
        <f t="shared" si="10"/>
        <v>437.26307189542484</v>
      </c>
      <c r="I68" s="39">
        <f t="shared" si="11"/>
        <v>136</v>
      </c>
      <c r="J68" s="51">
        <f t="shared" si="12"/>
        <v>844.56</v>
      </c>
      <c r="K68" s="39">
        <f t="shared" si="18"/>
        <v>345</v>
      </c>
      <c r="L68" s="42" t="str">
        <f t="shared" si="19"/>
        <v>Net Section will Yeild before Fracture</v>
      </c>
      <c r="M68" s="1"/>
      <c r="N68" s="1"/>
      <c r="O68" s="1"/>
      <c r="P68" s="1"/>
      <c r="Q68" s="1"/>
      <c r="R68" s="1"/>
      <c r="S68" s="1"/>
    </row>
    <row r="69" spans="1:19" ht="15">
      <c r="A69" s="38">
        <v>2.5</v>
      </c>
      <c r="B69" s="39">
        <f t="shared" si="13"/>
        <v>32.5</v>
      </c>
      <c r="C69" s="40">
        <v>15</v>
      </c>
      <c r="D69" s="39">
        <f t="shared" si="14"/>
        <v>63</v>
      </c>
      <c r="E69" s="41">
        <f t="shared" si="15"/>
        <v>0.077</v>
      </c>
      <c r="F69" s="39">
        <f t="shared" si="16"/>
        <v>2.89</v>
      </c>
      <c r="G69" s="51">
        <f t="shared" si="17"/>
        <v>983.92</v>
      </c>
      <c r="H69" s="52">
        <f t="shared" si="10"/>
        <v>404.9053497942387</v>
      </c>
      <c r="I69" s="39">
        <f t="shared" si="11"/>
        <v>135</v>
      </c>
      <c r="J69" s="51">
        <f t="shared" si="12"/>
        <v>838.35</v>
      </c>
      <c r="K69" s="39">
        <f t="shared" si="18"/>
        <v>345</v>
      </c>
      <c r="L69" s="42" t="str">
        <f t="shared" si="19"/>
        <v>Net Section will Yeild before Fracture</v>
      </c>
      <c r="M69" s="1"/>
      <c r="N69" s="1"/>
      <c r="O69" s="1"/>
      <c r="P69" s="1"/>
      <c r="Q69" s="1"/>
      <c r="R69" s="1"/>
      <c r="S69" s="1"/>
    </row>
    <row r="70" spans="1:19" ht="15">
      <c r="A70" s="38">
        <v>3</v>
      </c>
      <c r="B70" s="39">
        <f t="shared" si="13"/>
        <v>33</v>
      </c>
      <c r="C70" s="40">
        <v>15</v>
      </c>
      <c r="D70" s="39">
        <f t="shared" si="14"/>
        <v>63</v>
      </c>
      <c r="E70" s="41">
        <f t="shared" si="15"/>
        <v>0.091</v>
      </c>
      <c r="F70" s="39">
        <f t="shared" si="16"/>
        <v>2.812</v>
      </c>
      <c r="G70" s="51">
        <f t="shared" si="17"/>
        <v>923.1</v>
      </c>
      <c r="H70" s="52">
        <f t="shared" si="10"/>
        <v>382.71144278606965</v>
      </c>
      <c r="I70" s="39">
        <f t="shared" si="11"/>
        <v>134</v>
      </c>
      <c r="J70" s="51">
        <f t="shared" si="12"/>
        <v>832.14</v>
      </c>
      <c r="K70" s="39">
        <f t="shared" si="18"/>
        <v>345</v>
      </c>
      <c r="L70" s="42" t="str">
        <f t="shared" si="19"/>
        <v>Net Section will Yeild before Fracture</v>
      </c>
      <c r="M70" s="1"/>
      <c r="N70" s="1"/>
      <c r="O70" s="1"/>
      <c r="P70" s="1"/>
      <c r="Q70" s="1"/>
      <c r="R70" s="1"/>
      <c r="S70" s="1"/>
    </row>
    <row r="71" spans="1:19" ht="15">
      <c r="A71" s="38">
        <v>3.5</v>
      </c>
      <c r="B71" s="39">
        <f t="shared" si="13"/>
        <v>33.5</v>
      </c>
      <c r="C71" s="40">
        <v>15</v>
      </c>
      <c r="D71" s="39">
        <f t="shared" si="14"/>
        <v>63</v>
      </c>
      <c r="E71" s="41">
        <f t="shared" si="15"/>
        <v>0.104</v>
      </c>
      <c r="F71" s="39">
        <f t="shared" si="16"/>
        <v>2.743</v>
      </c>
      <c r="G71" s="51">
        <f t="shared" si="17"/>
        <v>876.12</v>
      </c>
      <c r="H71" s="52">
        <f t="shared" si="10"/>
        <v>365.96491228070175</v>
      </c>
      <c r="I71" s="39">
        <f t="shared" si="11"/>
        <v>133</v>
      </c>
      <c r="J71" s="51">
        <f t="shared" si="12"/>
        <v>825.93</v>
      </c>
      <c r="K71" s="39">
        <f t="shared" si="18"/>
        <v>345</v>
      </c>
      <c r="L71" s="42" t="str">
        <f t="shared" si="19"/>
        <v>Net Section will Yeild before Fracture</v>
      </c>
      <c r="M71" s="1"/>
      <c r="N71" s="1"/>
      <c r="O71" s="1"/>
      <c r="P71" s="1"/>
      <c r="Q71" s="1"/>
      <c r="R71" s="1"/>
      <c r="S71" s="1"/>
    </row>
    <row r="72" spans="1:19" ht="15">
      <c r="A72" s="38">
        <v>4</v>
      </c>
      <c r="B72" s="39">
        <f t="shared" si="13"/>
        <v>34</v>
      </c>
      <c r="C72" s="40">
        <v>15</v>
      </c>
      <c r="D72" s="39">
        <f t="shared" si="14"/>
        <v>63</v>
      </c>
      <c r="E72" s="41">
        <f t="shared" si="15"/>
        <v>0.118</v>
      </c>
      <c r="F72" s="39">
        <f t="shared" si="16"/>
        <v>2.67</v>
      </c>
      <c r="G72" s="51">
        <f t="shared" si="17"/>
        <v>841.95</v>
      </c>
      <c r="H72" s="52">
        <f t="shared" si="10"/>
        <v>354.3560606060606</v>
      </c>
      <c r="I72" s="39">
        <f t="shared" si="11"/>
        <v>132</v>
      </c>
      <c r="J72" s="51">
        <f t="shared" si="12"/>
        <v>819.72</v>
      </c>
      <c r="K72" s="39">
        <f t="shared" si="18"/>
        <v>345</v>
      </c>
      <c r="L72" s="42" t="str">
        <f t="shared" si="19"/>
        <v>Net Section will Yeild before Fracture</v>
      </c>
      <c r="M72" s="1"/>
      <c r="N72" s="1"/>
      <c r="O72" s="1"/>
      <c r="P72" s="1"/>
      <c r="Q72" s="1"/>
      <c r="R72" s="1"/>
      <c r="S72" s="1"/>
    </row>
    <row r="73" spans="1:19" ht="15">
      <c r="A73" s="38">
        <v>4.5</v>
      </c>
      <c r="B73" s="39">
        <f t="shared" si="13"/>
        <v>34.5</v>
      </c>
      <c r="C73" s="40">
        <v>15</v>
      </c>
      <c r="D73" s="39">
        <f t="shared" si="14"/>
        <v>63</v>
      </c>
      <c r="E73" s="41">
        <f t="shared" si="15"/>
        <v>0.13</v>
      </c>
      <c r="F73" s="39">
        <f t="shared" si="16"/>
        <v>2.61</v>
      </c>
      <c r="G73" s="51">
        <f t="shared" si="17"/>
        <v>812.04</v>
      </c>
      <c r="H73" s="52">
        <f t="shared" si="10"/>
        <v>344.3765903307888</v>
      </c>
      <c r="I73" s="39">
        <f t="shared" si="11"/>
        <v>131</v>
      </c>
      <c r="J73" s="51">
        <f t="shared" si="12"/>
        <v>813.51</v>
      </c>
      <c r="K73" s="39">
        <f t="shared" si="18"/>
        <v>345</v>
      </c>
      <c r="L73" s="42" t="str">
        <f t="shared" si="19"/>
        <v>Net Section will Fracture</v>
      </c>
      <c r="M73" s="1"/>
      <c r="N73" s="1"/>
      <c r="O73" s="1"/>
      <c r="P73" s="1"/>
      <c r="Q73" s="1"/>
      <c r="R73" s="1"/>
      <c r="S73" s="1"/>
    </row>
    <row r="74" spans="1:19" ht="15">
      <c r="A74" s="38">
        <v>6</v>
      </c>
      <c r="B74" s="39">
        <f t="shared" si="13"/>
        <v>36</v>
      </c>
      <c r="C74" s="40">
        <v>15</v>
      </c>
      <c r="D74" s="39">
        <f t="shared" si="14"/>
        <v>63</v>
      </c>
      <c r="E74" s="41">
        <f t="shared" si="15"/>
        <v>0.167</v>
      </c>
      <c r="F74" s="39">
        <f t="shared" si="16"/>
        <v>2.434</v>
      </c>
      <c r="G74" s="51">
        <f t="shared" si="17"/>
        <v>754.1</v>
      </c>
      <c r="H74" s="52">
        <f t="shared" si="10"/>
        <v>327.30034722222223</v>
      </c>
      <c r="I74" s="39">
        <f t="shared" si="11"/>
        <v>128</v>
      </c>
      <c r="J74" s="51">
        <f t="shared" si="12"/>
        <v>794.88</v>
      </c>
      <c r="K74" s="39">
        <f t="shared" si="18"/>
        <v>345</v>
      </c>
      <c r="L74" s="42" t="str">
        <f t="shared" si="19"/>
        <v>Net Section will Fracture</v>
      </c>
      <c r="M74" s="1"/>
      <c r="N74" s="1"/>
      <c r="O74" s="1"/>
      <c r="P74" s="1"/>
      <c r="Q74" s="1"/>
      <c r="R74" s="1"/>
      <c r="S74" s="1"/>
    </row>
    <row r="75" spans="1:19" ht="15">
      <c r="A75" s="38">
        <v>7</v>
      </c>
      <c r="B75" s="39">
        <f t="shared" si="13"/>
        <v>37</v>
      </c>
      <c r="C75" s="40">
        <v>15</v>
      </c>
      <c r="D75" s="39">
        <f t="shared" si="14"/>
        <v>63</v>
      </c>
      <c r="E75" s="41">
        <f t="shared" si="15"/>
        <v>0.189</v>
      </c>
      <c r="F75" s="39">
        <f t="shared" si="16"/>
        <v>2.337</v>
      </c>
      <c r="G75" s="51">
        <f t="shared" si="17"/>
        <v>727.14</v>
      </c>
      <c r="H75" s="52">
        <f t="shared" si="10"/>
        <v>320.6084656084656</v>
      </c>
      <c r="I75" s="39">
        <f t="shared" si="11"/>
        <v>126</v>
      </c>
      <c r="J75" s="51">
        <f t="shared" si="12"/>
        <v>782.46</v>
      </c>
      <c r="K75" s="39">
        <f t="shared" si="18"/>
        <v>345</v>
      </c>
      <c r="L75" s="42" t="str">
        <f t="shared" si="19"/>
        <v>Net Section will Fracture</v>
      </c>
      <c r="M75" s="1"/>
      <c r="N75" s="1"/>
      <c r="O75" s="1"/>
      <c r="P75" s="1"/>
      <c r="Q75" s="1"/>
      <c r="R75" s="1"/>
      <c r="S75" s="1"/>
    </row>
    <row r="76" spans="1:19" ht="15">
      <c r="A76" s="38">
        <v>8</v>
      </c>
      <c r="B76" s="39">
        <f t="shared" si="13"/>
        <v>38</v>
      </c>
      <c r="C76" s="40">
        <v>15</v>
      </c>
      <c r="D76" s="39">
        <f t="shared" si="14"/>
        <v>63</v>
      </c>
      <c r="E76" s="41">
        <f t="shared" si="15"/>
        <v>0.211</v>
      </c>
      <c r="F76" s="39">
        <f t="shared" si="16"/>
        <v>2.246</v>
      </c>
      <c r="G76" s="51">
        <f t="shared" si="17"/>
        <v>707.74</v>
      </c>
      <c r="H76" s="52">
        <f t="shared" si="10"/>
        <v>317.0878136200717</v>
      </c>
      <c r="I76" s="39">
        <f t="shared" si="11"/>
        <v>124</v>
      </c>
      <c r="J76" s="51">
        <f t="shared" si="12"/>
        <v>770.04</v>
      </c>
      <c r="K76" s="39">
        <f t="shared" si="18"/>
        <v>345</v>
      </c>
      <c r="L76" s="42" t="str">
        <f t="shared" si="19"/>
        <v>Net Section will Fracture</v>
      </c>
      <c r="M76" s="1"/>
      <c r="N76" s="1"/>
      <c r="O76" s="1"/>
      <c r="P76" s="1"/>
      <c r="Q76" s="1"/>
      <c r="R76" s="1"/>
      <c r="S76" s="1"/>
    </row>
    <row r="77" spans="1:19" ht="15">
      <c r="A77" s="38">
        <v>9</v>
      </c>
      <c r="B77" s="39">
        <f t="shared" si="13"/>
        <v>39</v>
      </c>
      <c r="C77" s="40">
        <v>15</v>
      </c>
      <c r="D77" s="39">
        <f t="shared" si="14"/>
        <v>63</v>
      </c>
      <c r="E77" s="41">
        <f t="shared" si="15"/>
        <v>0.231</v>
      </c>
      <c r="F77" s="39">
        <f t="shared" si="16"/>
        <v>2.167</v>
      </c>
      <c r="G77" s="51">
        <f t="shared" si="17"/>
        <v>691.58</v>
      </c>
      <c r="H77" s="52">
        <f t="shared" si="10"/>
        <v>314.92714025500914</v>
      </c>
      <c r="I77" s="39">
        <f t="shared" si="11"/>
        <v>122</v>
      </c>
      <c r="J77" s="51">
        <f t="shared" si="12"/>
        <v>757.62</v>
      </c>
      <c r="K77" s="39">
        <f t="shared" si="18"/>
        <v>345</v>
      </c>
      <c r="L77" s="42" t="str">
        <f t="shared" si="19"/>
        <v>Net Section will Fracture</v>
      </c>
      <c r="M77" s="1"/>
      <c r="N77" s="1"/>
      <c r="O77" s="1"/>
      <c r="P77" s="1"/>
      <c r="Q77" s="1"/>
      <c r="R77" s="1"/>
      <c r="S77" s="1"/>
    </row>
    <row r="78" spans="1:19" ht="15">
      <c r="A78" s="43">
        <v>10</v>
      </c>
      <c r="B78" s="44">
        <f t="shared" si="13"/>
        <v>40</v>
      </c>
      <c r="C78" s="45">
        <v>15</v>
      </c>
      <c r="D78" s="44">
        <f t="shared" si="14"/>
        <v>63</v>
      </c>
      <c r="E78" s="46">
        <f t="shared" si="15"/>
        <v>0.25</v>
      </c>
      <c r="F78" s="44">
        <f t="shared" si="16"/>
        <v>2.096</v>
      </c>
      <c r="G78" s="53">
        <f t="shared" si="17"/>
        <v>678.32</v>
      </c>
      <c r="H78" s="54">
        <f t="shared" si="10"/>
        <v>314.037037037037</v>
      </c>
      <c r="I78" s="44">
        <f t="shared" si="11"/>
        <v>120</v>
      </c>
      <c r="J78" s="53">
        <f t="shared" si="12"/>
        <v>745.2</v>
      </c>
      <c r="K78" s="44">
        <f t="shared" si="18"/>
        <v>345</v>
      </c>
      <c r="L78" s="47" t="str">
        <f t="shared" si="19"/>
        <v>Net Section will Fracture</v>
      </c>
      <c r="M78" s="1"/>
      <c r="N78" s="1"/>
      <c r="O78" s="1"/>
      <c r="P78" s="1"/>
      <c r="Q78" s="1"/>
      <c r="R78" s="1"/>
      <c r="S78" s="1"/>
    </row>
    <row r="79" spans="1:19" ht="15">
      <c r="A79" s="1"/>
      <c r="B79" s="1"/>
      <c r="C79" s="1"/>
      <c r="D79" s="1"/>
      <c r="E79" s="1"/>
      <c r="F79" s="1"/>
      <c r="G79" s="57"/>
      <c r="H79" s="57"/>
      <c r="I79" s="1"/>
      <c r="J79" s="57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1"/>
      <c r="B80" s="1"/>
      <c r="C80" s="1"/>
      <c r="D80" s="1"/>
      <c r="E80" s="1"/>
      <c r="F80" s="1"/>
      <c r="G80" s="57"/>
      <c r="H80" s="57"/>
      <c r="I80" s="1"/>
      <c r="J80" s="57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1"/>
      <c r="B81" s="1"/>
      <c r="C81" s="1"/>
      <c r="D81" s="1"/>
      <c r="E81" s="1"/>
      <c r="F81" s="1"/>
      <c r="G81" s="57"/>
      <c r="H81" s="57"/>
      <c r="I81" s="1"/>
      <c r="J81" s="57"/>
      <c r="K81" s="1"/>
      <c r="L81" s="1"/>
      <c r="M81" s="1"/>
      <c r="N81" s="1"/>
      <c r="O81" s="1"/>
      <c r="P81" s="1"/>
      <c r="Q81" s="1"/>
      <c r="R81" s="1"/>
      <c r="S81" s="1"/>
    </row>
    <row r="82" spans="1:19" ht="26.25">
      <c r="A82" s="10" t="s">
        <v>57</v>
      </c>
      <c r="B82" s="10"/>
      <c r="C82" s="10"/>
      <c r="D82" s="15"/>
      <c r="E82" s="10"/>
      <c r="F82" s="10"/>
      <c r="G82" s="127" t="s">
        <v>40</v>
      </c>
      <c r="H82" s="128"/>
      <c r="I82" s="10"/>
      <c r="J82" s="60" t="s">
        <v>41</v>
      </c>
      <c r="K82" s="10"/>
      <c r="L82" s="10"/>
      <c r="M82" s="1"/>
      <c r="N82" s="1"/>
      <c r="O82" s="1"/>
      <c r="P82" s="1"/>
      <c r="Q82" s="1"/>
      <c r="R82" s="1"/>
      <c r="S82" s="1"/>
    </row>
    <row r="83" spans="1:19" ht="53.25" customHeight="1">
      <c r="A83" s="29" t="s">
        <v>38</v>
      </c>
      <c r="B83" s="27" t="s">
        <v>52</v>
      </c>
      <c r="C83" s="29" t="s">
        <v>37</v>
      </c>
      <c r="D83" s="28" t="s">
        <v>39</v>
      </c>
      <c r="E83" s="31" t="s">
        <v>49</v>
      </c>
      <c r="F83" s="31" t="s">
        <v>53</v>
      </c>
      <c r="G83" s="61" t="s">
        <v>62</v>
      </c>
      <c r="H83" s="62" t="s">
        <v>50</v>
      </c>
      <c r="I83" s="29" t="s">
        <v>42</v>
      </c>
      <c r="J83" s="61" t="s">
        <v>63</v>
      </c>
      <c r="K83" s="30" t="s">
        <v>51</v>
      </c>
      <c r="L83" s="32"/>
      <c r="M83" s="1"/>
      <c r="N83" s="1"/>
      <c r="O83" s="1"/>
      <c r="P83" s="1"/>
      <c r="Q83" s="1"/>
      <c r="R83" s="1"/>
      <c r="S83" s="1"/>
    </row>
    <row r="84" spans="1:19" ht="15">
      <c r="A84" s="33">
        <v>1</v>
      </c>
      <c r="B84" s="34">
        <f>($F$7/2+$A84)</f>
        <v>31</v>
      </c>
      <c r="C84" s="35">
        <v>0</v>
      </c>
      <c r="D84" s="34">
        <f>60+0.2*C84</f>
        <v>60</v>
      </c>
      <c r="E84" s="36">
        <f>ROUND($A84/($F$7/2+$A84),3)</f>
        <v>0.032</v>
      </c>
      <c r="F84" s="34">
        <f>ROUND(0.5*(3-E84)*(1+1.243*(1-E84)^3),3)</f>
        <v>3.157</v>
      </c>
      <c r="G84" s="49">
        <f>ROUND($D84/($F84*$G$37*SQRT(PI()*$A84/1000))/1000,2)</f>
        <v>1356.32</v>
      </c>
      <c r="H84" s="50">
        <f aca="true" t="shared" si="20" ref="H84:H96">G84*1000/(I84*$F$4*0.9)</f>
        <v>546.0225442834138</v>
      </c>
      <c r="I84" s="34">
        <f aca="true" t="shared" si="21" ref="I84:I96">$F$5-$F$7-2*$A84</f>
        <v>138</v>
      </c>
      <c r="J84" s="49">
        <f aca="true" t="shared" si="22" ref="J84:J96">0.9*$E$24*$I84*$F$4/1000</f>
        <v>856.98</v>
      </c>
      <c r="K84" s="34">
        <f>J84*1000/(0.9*$I84*$F$4)</f>
        <v>345</v>
      </c>
      <c r="L84" s="37" t="str">
        <f>IF($H84&gt;$K84,"Net Section will Yeild before Fracture","Net Section will Fracture")</f>
        <v>Net Section will Yeild before Fracture</v>
      </c>
      <c r="M84" s="1"/>
      <c r="N84" s="1"/>
      <c r="O84" s="1"/>
      <c r="P84" s="1"/>
      <c r="Q84" s="1"/>
      <c r="R84" s="1"/>
      <c r="S84" s="1"/>
    </row>
    <row r="85" spans="1:19" ht="15">
      <c r="A85" s="38">
        <v>1.5</v>
      </c>
      <c r="B85" s="39">
        <f aca="true" t="shared" si="23" ref="B85:B96">($F$7/2+$A85)</f>
        <v>31.5</v>
      </c>
      <c r="C85" s="40">
        <v>0</v>
      </c>
      <c r="D85" s="39">
        <f aca="true" t="shared" si="24" ref="D85:D96">60+0.2*C85</f>
        <v>60</v>
      </c>
      <c r="E85" s="41">
        <f aca="true" t="shared" si="25" ref="E85:E96">ROUND($A85/($F$7/2+$A85),3)</f>
        <v>0.048</v>
      </c>
      <c r="F85" s="39">
        <f aca="true" t="shared" si="26" ref="F85:F96">ROUND(0.5*(3-E85)*(1+1.243*(1-E85)^3),3)</f>
        <v>3.059</v>
      </c>
      <c r="G85" s="51">
        <f aca="true" t="shared" si="27" ref="G85:G96">ROUND($D85/($F85*$G$37*SQRT(PI()*$A85/1000))/1000,2)</f>
        <v>1142.91</v>
      </c>
      <c r="H85" s="52">
        <f t="shared" si="20"/>
        <v>463.46715328467155</v>
      </c>
      <c r="I85" s="39">
        <f t="shared" si="21"/>
        <v>137</v>
      </c>
      <c r="J85" s="51">
        <f t="shared" si="22"/>
        <v>850.77</v>
      </c>
      <c r="K85" s="39">
        <f aca="true" t="shared" si="28" ref="K85:K96">J85*1000/(0.9*$I85*$F$4)</f>
        <v>345</v>
      </c>
      <c r="L85" s="42" t="str">
        <f aca="true" t="shared" si="29" ref="L85:L96">IF($H85&gt;$K85,"Net Section will Yeild before Fracture","Net Section will Fracture")</f>
        <v>Net Section will Yeild before Fracture</v>
      </c>
      <c r="M85" s="1"/>
      <c r="N85" s="1"/>
      <c r="O85" s="1"/>
      <c r="P85" s="1"/>
      <c r="Q85" s="1"/>
      <c r="R85" s="1"/>
      <c r="S85" s="1"/>
    </row>
    <row r="86" spans="1:19" ht="15">
      <c r="A86" s="38">
        <v>2</v>
      </c>
      <c r="B86" s="39">
        <f t="shared" si="23"/>
        <v>32</v>
      </c>
      <c r="C86" s="40">
        <v>0</v>
      </c>
      <c r="D86" s="39">
        <f t="shared" si="24"/>
        <v>60</v>
      </c>
      <c r="E86" s="41">
        <f t="shared" si="25"/>
        <v>0.063</v>
      </c>
      <c r="F86" s="39">
        <f t="shared" si="26"/>
        <v>2.97</v>
      </c>
      <c r="G86" s="51">
        <f t="shared" si="27"/>
        <v>1019.45</v>
      </c>
      <c r="H86" s="52">
        <f t="shared" si="20"/>
        <v>416.4419934640523</v>
      </c>
      <c r="I86" s="39">
        <f t="shared" si="21"/>
        <v>136</v>
      </c>
      <c r="J86" s="51">
        <f t="shared" si="22"/>
        <v>844.56</v>
      </c>
      <c r="K86" s="39">
        <f t="shared" si="28"/>
        <v>345</v>
      </c>
      <c r="L86" s="42" t="str">
        <f t="shared" si="29"/>
        <v>Net Section will Yeild before Fracture</v>
      </c>
      <c r="M86" s="1"/>
      <c r="N86" s="1"/>
      <c r="O86" s="1"/>
      <c r="P86" s="1"/>
      <c r="Q86" s="1"/>
      <c r="R86" s="1"/>
      <c r="S86" s="1"/>
    </row>
    <row r="87" spans="1:19" ht="15">
      <c r="A87" s="38">
        <v>2.5</v>
      </c>
      <c r="B87" s="39">
        <f t="shared" si="23"/>
        <v>32.5</v>
      </c>
      <c r="C87" s="40">
        <v>0</v>
      </c>
      <c r="D87" s="39">
        <f t="shared" si="24"/>
        <v>60</v>
      </c>
      <c r="E87" s="41">
        <f t="shared" si="25"/>
        <v>0.077</v>
      </c>
      <c r="F87" s="39">
        <f t="shared" si="26"/>
        <v>2.89</v>
      </c>
      <c r="G87" s="51">
        <f t="shared" si="27"/>
        <v>937.06</v>
      </c>
      <c r="H87" s="52">
        <f t="shared" si="20"/>
        <v>385.62139917695475</v>
      </c>
      <c r="I87" s="39">
        <f t="shared" si="21"/>
        <v>135</v>
      </c>
      <c r="J87" s="51">
        <f t="shared" si="22"/>
        <v>838.35</v>
      </c>
      <c r="K87" s="39">
        <f t="shared" si="28"/>
        <v>345</v>
      </c>
      <c r="L87" s="42" t="str">
        <f t="shared" si="29"/>
        <v>Net Section will Yeild before Fracture</v>
      </c>
      <c r="M87" s="1"/>
      <c r="N87" s="1"/>
      <c r="O87" s="1"/>
      <c r="P87" s="1"/>
      <c r="Q87" s="1"/>
      <c r="R87" s="1"/>
      <c r="S87" s="1"/>
    </row>
    <row r="88" spans="1:19" ht="15">
      <c r="A88" s="38">
        <v>3</v>
      </c>
      <c r="B88" s="39">
        <f t="shared" si="23"/>
        <v>33</v>
      </c>
      <c r="C88" s="40">
        <v>0</v>
      </c>
      <c r="D88" s="39">
        <f t="shared" si="24"/>
        <v>60</v>
      </c>
      <c r="E88" s="41">
        <f t="shared" si="25"/>
        <v>0.091</v>
      </c>
      <c r="F88" s="39">
        <f t="shared" si="26"/>
        <v>2.812</v>
      </c>
      <c r="G88" s="51">
        <f t="shared" si="27"/>
        <v>879.14</v>
      </c>
      <c r="H88" s="52">
        <f t="shared" si="20"/>
        <v>364.48590381426203</v>
      </c>
      <c r="I88" s="39">
        <f t="shared" si="21"/>
        <v>134</v>
      </c>
      <c r="J88" s="51">
        <f t="shared" si="22"/>
        <v>832.14</v>
      </c>
      <c r="K88" s="39">
        <f t="shared" si="28"/>
        <v>345</v>
      </c>
      <c r="L88" s="42" t="str">
        <f t="shared" si="29"/>
        <v>Net Section will Yeild before Fracture</v>
      </c>
      <c r="M88" s="1"/>
      <c r="N88" s="1"/>
      <c r="O88" s="1"/>
      <c r="P88" s="1"/>
      <c r="Q88" s="1"/>
      <c r="R88" s="1"/>
      <c r="S88" s="1"/>
    </row>
    <row r="89" spans="1:19" ht="15">
      <c r="A89" s="38">
        <v>3.5</v>
      </c>
      <c r="B89" s="39">
        <f t="shared" si="23"/>
        <v>33.5</v>
      </c>
      <c r="C89" s="40">
        <v>0</v>
      </c>
      <c r="D89" s="39">
        <f t="shared" si="24"/>
        <v>60</v>
      </c>
      <c r="E89" s="41">
        <f t="shared" si="25"/>
        <v>0.104</v>
      </c>
      <c r="F89" s="39">
        <f t="shared" si="26"/>
        <v>2.743</v>
      </c>
      <c r="G89" s="51">
        <f t="shared" si="27"/>
        <v>834.4</v>
      </c>
      <c r="H89" s="52">
        <f t="shared" si="20"/>
        <v>348.53801169590645</v>
      </c>
      <c r="I89" s="39">
        <f t="shared" si="21"/>
        <v>133</v>
      </c>
      <c r="J89" s="51">
        <f t="shared" si="22"/>
        <v>825.93</v>
      </c>
      <c r="K89" s="39">
        <f t="shared" si="28"/>
        <v>345</v>
      </c>
      <c r="L89" s="42" t="str">
        <f t="shared" si="29"/>
        <v>Net Section will Yeild before Fracture</v>
      </c>
      <c r="M89" s="1"/>
      <c r="N89" s="1"/>
      <c r="O89" s="1"/>
      <c r="P89" s="1"/>
      <c r="Q89" s="1"/>
      <c r="R89" s="1"/>
      <c r="S89" s="1"/>
    </row>
    <row r="90" spans="1:19" ht="15">
      <c r="A90" s="38">
        <v>3.7</v>
      </c>
      <c r="B90" s="39">
        <f t="shared" si="23"/>
        <v>33.7</v>
      </c>
      <c r="C90" s="40">
        <v>0</v>
      </c>
      <c r="D90" s="39">
        <f t="shared" si="24"/>
        <v>60</v>
      </c>
      <c r="E90" s="41">
        <f t="shared" si="25"/>
        <v>0.11</v>
      </c>
      <c r="F90" s="39">
        <f t="shared" si="26"/>
        <v>2.711</v>
      </c>
      <c r="G90" s="51">
        <f t="shared" si="27"/>
        <v>821.12</v>
      </c>
      <c r="H90" s="52">
        <f t="shared" si="20"/>
        <v>344.02547343723813</v>
      </c>
      <c r="I90" s="39">
        <f t="shared" si="21"/>
        <v>132.6</v>
      </c>
      <c r="J90" s="51">
        <f t="shared" si="22"/>
        <v>823.4459999999999</v>
      </c>
      <c r="K90" s="39">
        <f t="shared" si="28"/>
        <v>344.99999999999994</v>
      </c>
      <c r="L90" s="42" t="str">
        <f t="shared" si="29"/>
        <v>Net Section will Fracture</v>
      </c>
      <c r="M90" s="1"/>
      <c r="N90" s="1"/>
      <c r="O90" s="1"/>
      <c r="P90" s="1"/>
      <c r="Q90" s="1"/>
      <c r="R90" s="1"/>
      <c r="S90" s="1"/>
    </row>
    <row r="91" spans="1:19" ht="15">
      <c r="A91" s="38">
        <v>5</v>
      </c>
      <c r="B91" s="39">
        <f t="shared" si="23"/>
        <v>35</v>
      </c>
      <c r="C91" s="40">
        <v>0</v>
      </c>
      <c r="D91" s="39">
        <f t="shared" si="24"/>
        <v>60</v>
      </c>
      <c r="E91" s="41">
        <f t="shared" si="25"/>
        <v>0.143</v>
      </c>
      <c r="F91" s="39">
        <f t="shared" si="26"/>
        <v>2.546</v>
      </c>
      <c r="G91" s="51">
        <f t="shared" si="27"/>
        <v>752.13</v>
      </c>
      <c r="H91" s="52">
        <f t="shared" si="20"/>
        <v>321.4230769230769</v>
      </c>
      <c r="I91" s="39">
        <f t="shared" si="21"/>
        <v>130</v>
      </c>
      <c r="J91" s="51">
        <f t="shared" si="22"/>
        <v>807.3</v>
      </c>
      <c r="K91" s="39">
        <f t="shared" si="28"/>
        <v>345</v>
      </c>
      <c r="L91" s="42" t="str">
        <f t="shared" si="29"/>
        <v>Net Section will Fracture</v>
      </c>
      <c r="M91" s="1"/>
      <c r="N91" s="1"/>
      <c r="O91" s="1"/>
      <c r="P91" s="1"/>
      <c r="Q91" s="1"/>
      <c r="R91" s="1"/>
      <c r="S91" s="1"/>
    </row>
    <row r="92" spans="1:19" ht="15">
      <c r="A92" s="38">
        <v>6</v>
      </c>
      <c r="B92" s="39">
        <f t="shared" si="23"/>
        <v>36</v>
      </c>
      <c r="C92" s="40">
        <v>0</v>
      </c>
      <c r="D92" s="39">
        <f t="shared" si="24"/>
        <v>60</v>
      </c>
      <c r="E92" s="41">
        <f t="shared" si="25"/>
        <v>0.167</v>
      </c>
      <c r="F92" s="39">
        <f t="shared" si="26"/>
        <v>2.434</v>
      </c>
      <c r="G92" s="51">
        <f t="shared" si="27"/>
        <v>718.19</v>
      </c>
      <c r="H92" s="52">
        <f t="shared" si="20"/>
        <v>311.71440972222223</v>
      </c>
      <c r="I92" s="39">
        <f t="shared" si="21"/>
        <v>128</v>
      </c>
      <c r="J92" s="51">
        <f t="shared" si="22"/>
        <v>794.88</v>
      </c>
      <c r="K92" s="39">
        <f t="shared" si="28"/>
        <v>345</v>
      </c>
      <c r="L92" s="42" t="str">
        <f t="shared" si="29"/>
        <v>Net Section will Fracture</v>
      </c>
      <c r="M92" s="1"/>
      <c r="N92" s="1"/>
      <c r="O92" s="1"/>
      <c r="P92" s="1"/>
      <c r="Q92" s="1"/>
      <c r="R92" s="1"/>
      <c r="S92" s="1"/>
    </row>
    <row r="93" spans="1:19" ht="15">
      <c r="A93" s="38">
        <v>7</v>
      </c>
      <c r="B93" s="39">
        <f t="shared" si="23"/>
        <v>37</v>
      </c>
      <c r="C93" s="40">
        <v>0</v>
      </c>
      <c r="D93" s="39">
        <f t="shared" si="24"/>
        <v>60</v>
      </c>
      <c r="E93" s="41">
        <f t="shared" si="25"/>
        <v>0.189</v>
      </c>
      <c r="F93" s="39">
        <f t="shared" si="26"/>
        <v>2.337</v>
      </c>
      <c r="G93" s="51">
        <f t="shared" si="27"/>
        <v>692.51</v>
      </c>
      <c r="H93" s="52">
        <f t="shared" si="20"/>
        <v>305.3395061728395</v>
      </c>
      <c r="I93" s="39">
        <f t="shared" si="21"/>
        <v>126</v>
      </c>
      <c r="J93" s="51">
        <f t="shared" si="22"/>
        <v>782.46</v>
      </c>
      <c r="K93" s="39">
        <f t="shared" si="28"/>
        <v>345</v>
      </c>
      <c r="L93" s="42" t="str">
        <f t="shared" si="29"/>
        <v>Net Section will Fracture</v>
      </c>
      <c r="M93" s="1"/>
      <c r="N93" s="1"/>
      <c r="O93" s="1"/>
      <c r="P93" s="1"/>
      <c r="Q93" s="1"/>
      <c r="R93" s="1"/>
      <c r="S93" s="1"/>
    </row>
    <row r="94" spans="1:19" ht="15">
      <c r="A94" s="38">
        <v>8</v>
      </c>
      <c r="B94" s="39">
        <f t="shared" si="23"/>
        <v>38</v>
      </c>
      <c r="C94" s="40">
        <v>0</v>
      </c>
      <c r="D94" s="39">
        <f t="shared" si="24"/>
        <v>60</v>
      </c>
      <c r="E94" s="41">
        <f t="shared" si="25"/>
        <v>0.211</v>
      </c>
      <c r="F94" s="39">
        <f t="shared" si="26"/>
        <v>2.246</v>
      </c>
      <c r="G94" s="51">
        <f t="shared" si="27"/>
        <v>674.03</v>
      </c>
      <c r="H94" s="52">
        <f t="shared" si="20"/>
        <v>301.9847670250896</v>
      </c>
      <c r="I94" s="39">
        <f t="shared" si="21"/>
        <v>124</v>
      </c>
      <c r="J94" s="51">
        <f t="shared" si="22"/>
        <v>770.04</v>
      </c>
      <c r="K94" s="39">
        <f t="shared" si="28"/>
        <v>345</v>
      </c>
      <c r="L94" s="42" t="str">
        <f t="shared" si="29"/>
        <v>Net Section will Fracture</v>
      </c>
      <c r="M94" s="1"/>
      <c r="N94" s="1"/>
      <c r="O94" s="1"/>
      <c r="P94" s="1"/>
      <c r="Q94" s="1"/>
      <c r="R94" s="1"/>
      <c r="S94" s="1"/>
    </row>
    <row r="95" spans="1:19" ht="15">
      <c r="A95" s="38">
        <v>9</v>
      </c>
      <c r="B95" s="39">
        <f t="shared" si="23"/>
        <v>39</v>
      </c>
      <c r="C95" s="40">
        <v>0</v>
      </c>
      <c r="D95" s="39">
        <f t="shared" si="24"/>
        <v>60</v>
      </c>
      <c r="E95" s="41">
        <f t="shared" si="25"/>
        <v>0.231</v>
      </c>
      <c r="F95" s="39">
        <f t="shared" si="26"/>
        <v>2.167</v>
      </c>
      <c r="G95" s="51">
        <f t="shared" si="27"/>
        <v>658.65</v>
      </c>
      <c r="H95" s="52">
        <f t="shared" si="20"/>
        <v>299.93169398907105</v>
      </c>
      <c r="I95" s="39">
        <f t="shared" si="21"/>
        <v>122</v>
      </c>
      <c r="J95" s="51">
        <f t="shared" si="22"/>
        <v>757.62</v>
      </c>
      <c r="K95" s="39">
        <f t="shared" si="28"/>
        <v>345</v>
      </c>
      <c r="L95" s="42" t="str">
        <f t="shared" si="29"/>
        <v>Net Section will Fracture</v>
      </c>
      <c r="M95" s="1"/>
      <c r="N95" s="1"/>
      <c r="O95" s="1"/>
      <c r="P95" s="1"/>
      <c r="Q95" s="1"/>
      <c r="R95" s="1"/>
      <c r="S95" s="1"/>
    </row>
    <row r="96" spans="1:19" ht="15">
      <c r="A96" s="43">
        <v>10</v>
      </c>
      <c r="B96" s="44">
        <f t="shared" si="23"/>
        <v>40</v>
      </c>
      <c r="C96" s="45">
        <v>0</v>
      </c>
      <c r="D96" s="44">
        <f t="shared" si="24"/>
        <v>60</v>
      </c>
      <c r="E96" s="46">
        <f t="shared" si="25"/>
        <v>0.25</v>
      </c>
      <c r="F96" s="44">
        <f t="shared" si="26"/>
        <v>2.096</v>
      </c>
      <c r="G96" s="53">
        <f t="shared" si="27"/>
        <v>646.02</v>
      </c>
      <c r="H96" s="54">
        <f t="shared" si="20"/>
        <v>299.0833333333333</v>
      </c>
      <c r="I96" s="44">
        <f t="shared" si="21"/>
        <v>120</v>
      </c>
      <c r="J96" s="53">
        <f t="shared" si="22"/>
        <v>745.2</v>
      </c>
      <c r="K96" s="44">
        <f t="shared" si="28"/>
        <v>345</v>
      </c>
      <c r="L96" s="47" t="str">
        <f t="shared" si="29"/>
        <v>Net Section will Fracture</v>
      </c>
      <c r="M96" s="1"/>
      <c r="N96" s="1"/>
      <c r="O96" s="1"/>
      <c r="P96" s="1"/>
      <c r="Q96" s="1"/>
      <c r="R96" s="1"/>
      <c r="S96" s="1"/>
    </row>
    <row r="97" spans="1:19" ht="15">
      <c r="A97" s="1"/>
      <c r="B97" s="1"/>
      <c r="C97" s="1"/>
      <c r="D97" s="1"/>
      <c r="E97" s="1"/>
      <c r="F97" s="1"/>
      <c r="G97" s="57"/>
      <c r="H97" s="57"/>
      <c r="I97" s="1"/>
      <c r="J97" s="57"/>
      <c r="K97" s="1"/>
      <c r="L97" s="1"/>
      <c r="M97" s="1"/>
      <c r="N97" s="1"/>
      <c r="O97" s="1"/>
      <c r="P97" s="1"/>
      <c r="Q97" s="1"/>
      <c r="R97" s="1"/>
      <c r="S97" s="1"/>
    </row>
    <row r="98" spans="1:19" ht="15">
      <c r="A98" s="1"/>
      <c r="B98" s="1"/>
      <c r="C98" s="1"/>
      <c r="D98" s="1"/>
      <c r="E98" s="1"/>
      <c r="F98" s="1"/>
      <c r="G98" s="57"/>
      <c r="H98" s="57"/>
      <c r="I98" s="1"/>
      <c r="J98" s="57"/>
      <c r="K98" s="1"/>
      <c r="L98" s="1"/>
      <c r="M98" s="1"/>
      <c r="N98" s="1"/>
      <c r="O98" s="1"/>
      <c r="P98" s="1"/>
      <c r="Q98" s="1"/>
      <c r="R98" s="1"/>
      <c r="S98" s="1"/>
    </row>
    <row r="99" spans="1:19" ht="15">
      <c r="A99" s="1"/>
      <c r="B99" s="1"/>
      <c r="C99" s="1"/>
      <c r="D99" s="1"/>
      <c r="E99" s="1"/>
      <c r="F99" s="1"/>
      <c r="G99" s="57"/>
      <c r="H99" s="57"/>
      <c r="I99" s="1"/>
      <c r="J99" s="57"/>
      <c r="K99" s="1"/>
      <c r="L99" s="1"/>
      <c r="M99" s="1"/>
      <c r="N99" s="1"/>
      <c r="O99" s="1"/>
      <c r="P99" s="1"/>
      <c r="Q99" s="1"/>
      <c r="R99" s="1"/>
      <c r="S99" s="1"/>
    </row>
    <row r="100" spans="1:19" ht="26.25">
      <c r="A100" s="10" t="s">
        <v>58</v>
      </c>
      <c r="B100" s="10"/>
      <c r="C100" s="10"/>
      <c r="D100" s="15"/>
      <c r="E100" s="10"/>
      <c r="F100" s="10"/>
      <c r="G100" s="127" t="s">
        <v>40</v>
      </c>
      <c r="H100" s="128"/>
      <c r="I100" s="10"/>
      <c r="J100" s="60" t="s">
        <v>41</v>
      </c>
      <c r="K100" s="10"/>
      <c r="L100" s="10"/>
      <c r="M100" s="1"/>
      <c r="N100" s="1"/>
      <c r="O100" s="1"/>
      <c r="P100" s="1"/>
      <c r="Q100" s="1"/>
      <c r="R100" s="1"/>
      <c r="S100" s="1"/>
    </row>
    <row r="101" spans="1:19" ht="54" customHeight="1">
      <c r="A101" s="29" t="s">
        <v>38</v>
      </c>
      <c r="B101" s="27" t="s">
        <v>52</v>
      </c>
      <c r="C101" s="29" t="s">
        <v>37</v>
      </c>
      <c r="D101" s="28" t="s">
        <v>39</v>
      </c>
      <c r="E101" s="31" t="s">
        <v>49</v>
      </c>
      <c r="F101" s="31" t="s">
        <v>53</v>
      </c>
      <c r="G101" s="61" t="s">
        <v>62</v>
      </c>
      <c r="H101" s="62" t="s">
        <v>50</v>
      </c>
      <c r="I101" s="29" t="s">
        <v>42</v>
      </c>
      <c r="J101" s="61" t="s">
        <v>63</v>
      </c>
      <c r="K101" s="30" t="s">
        <v>51</v>
      </c>
      <c r="L101" s="32"/>
      <c r="M101" s="1"/>
      <c r="N101" s="1"/>
      <c r="O101" s="1"/>
      <c r="P101" s="1"/>
      <c r="Q101" s="1"/>
      <c r="R101" s="1"/>
      <c r="S101" s="1"/>
    </row>
    <row r="102" spans="1:19" ht="15">
      <c r="A102" s="33">
        <v>1</v>
      </c>
      <c r="B102" s="34">
        <f>($F$7/2+$A102)</f>
        <v>31</v>
      </c>
      <c r="C102" s="35">
        <v>-15</v>
      </c>
      <c r="D102" s="34">
        <f>60+0.2*C102</f>
        <v>57</v>
      </c>
      <c r="E102" s="36">
        <f>ROUND($A102/($F$7/2+$A102),3)</f>
        <v>0.032</v>
      </c>
      <c r="F102" s="34">
        <f>ROUND(0.5*(3-E102)*(1+1.243*(1-E102)^3),3)</f>
        <v>3.157</v>
      </c>
      <c r="G102" s="49">
        <f>ROUND($D102/($F102*$G$37*SQRT(PI()*$A102/1000))/1000,2)</f>
        <v>1288.5</v>
      </c>
      <c r="H102" s="50">
        <f aca="true" t="shared" si="30" ref="H102:H114">G102*1000/(I102*$F$4*0.9)</f>
        <v>518.7198067632851</v>
      </c>
      <c r="I102" s="34">
        <f aca="true" t="shared" si="31" ref="I102:I114">$F$5-$F$7-2*$A102</f>
        <v>138</v>
      </c>
      <c r="J102" s="49">
        <f aca="true" t="shared" si="32" ref="J102:J114">0.9*$E$24*$I102*$F$4/1000</f>
        <v>856.98</v>
      </c>
      <c r="K102" s="34">
        <f>J102*1000/(0.9*$I102*$F$4)</f>
        <v>345</v>
      </c>
      <c r="L102" s="37" t="str">
        <f>IF($H102&gt;$K102,"Net Section will Yeild before Fracture","Net Section will Fracture")</f>
        <v>Net Section will Yeild before Fracture</v>
      </c>
      <c r="M102" s="1"/>
      <c r="N102" s="1"/>
      <c r="O102" s="1"/>
      <c r="P102" s="1"/>
      <c r="Q102" s="1"/>
      <c r="R102" s="1"/>
      <c r="S102" s="1"/>
    </row>
    <row r="103" spans="1:19" ht="15">
      <c r="A103" s="38">
        <v>1.5</v>
      </c>
      <c r="B103" s="39">
        <f aca="true" t="shared" si="33" ref="B103:B114">($F$7/2+$A103)</f>
        <v>31.5</v>
      </c>
      <c r="C103" s="40">
        <v>-15</v>
      </c>
      <c r="D103" s="39">
        <f aca="true" t="shared" si="34" ref="D103:D114">60+0.2*C103</f>
        <v>57</v>
      </c>
      <c r="E103" s="41">
        <f aca="true" t="shared" si="35" ref="E103:E114">ROUND($A103/($F$7/2+$A103),3)</f>
        <v>0.048</v>
      </c>
      <c r="F103" s="39">
        <f aca="true" t="shared" si="36" ref="F103:F114">ROUND(0.5*(3-E103)*(1+1.243*(1-E103)^3),3)</f>
        <v>3.059</v>
      </c>
      <c r="G103" s="51">
        <f aca="true" t="shared" si="37" ref="G103:G114">ROUND($D103/($F103*$G$37*SQRT(PI()*$A103/1000))/1000,2)</f>
        <v>1085.76</v>
      </c>
      <c r="H103" s="52">
        <f t="shared" si="30"/>
        <v>440.2919708029197</v>
      </c>
      <c r="I103" s="39">
        <f t="shared" si="31"/>
        <v>137</v>
      </c>
      <c r="J103" s="51">
        <f t="shared" si="32"/>
        <v>850.77</v>
      </c>
      <c r="K103" s="39">
        <f aca="true" t="shared" si="38" ref="K103:K114">J103*1000/(0.9*$I103*$F$4)</f>
        <v>345</v>
      </c>
      <c r="L103" s="42" t="str">
        <f aca="true" t="shared" si="39" ref="L103:L114">IF($H103&gt;$K103,"Net Section will Yeild before Fracture","Net Section will Fracture")</f>
        <v>Net Section will Yeild before Fracture</v>
      </c>
      <c r="M103" s="1"/>
      <c r="N103" s="1"/>
      <c r="O103" s="1"/>
      <c r="P103" s="1"/>
      <c r="Q103" s="1"/>
      <c r="R103" s="1"/>
      <c r="S103" s="1"/>
    </row>
    <row r="104" spans="1:19" ht="15">
      <c r="A104" s="38">
        <v>2</v>
      </c>
      <c r="B104" s="39">
        <f t="shared" si="33"/>
        <v>32</v>
      </c>
      <c r="C104" s="40">
        <v>-15</v>
      </c>
      <c r="D104" s="39">
        <f t="shared" si="34"/>
        <v>57</v>
      </c>
      <c r="E104" s="41">
        <f t="shared" si="35"/>
        <v>0.063</v>
      </c>
      <c r="F104" s="39">
        <f t="shared" si="36"/>
        <v>2.97</v>
      </c>
      <c r="G104" s="51">
        <f t="shared" si="37"/>
        <v>968.48</v>
      </c>
      <c r="H104" s="52">
        <f t="shared" si="30"/>
        <v>395.62091503267976</v>
      </c>
      <c r="I104" s="39">
        <f t="shared" si="31"/>
        <v>136</v>
      </c>
      <c r="J104" s="51">
        <f t="shared" si="32"/>
        <v>844.56</v>
      </c>
      <c r="K104" s="39">
        <f t="shared" si="38"/>
        <v>345</v>
      </c>
      <c r="L104" s="42" t="str">
        <f t="shared" si="39"/>
        <v>Net Section will Yeild before Fracture</v>
      </c>
      <c r="M104" s="1"/>
      <c r="N104" s="1"/>
      <c r="O104" s="1"/>
      <c r="P104" s="1"/>
      <c r="Q104" s="1"/>
      <c r="R104" s="1"/>
      <c r="S104" s="1"/>
    </row>
    <row r="105" spans="1:19" ht="15">
      <c r="A105" s="38">
        <v>2.5</v>
      </c>
      <c r="B105" s="39">
        <f t="shared" si="33"/>
        <v>32.5</v>
      </c>
      <c r="C105" s="40">
        <v>-15</v>
      </c>
      <c r="D105" s="39">
        <f t="shared" si="34"/>
        <v>57</v>
      </c>
      <c r="E105" s="41">
        <f t="shared" si="35"/>
        <v>0.077</v>
      </c>
      <c r="F105" s="39">
        <f t="shared" si="36"/>
        <v>2.89</v>
      </c>
      <c r="G105" s="51">
        <f t="shared" si="37"/>
        <v>890.21</v>
      </c>
      <c r="H105" s="52">
        <f t="shared" si="30"/>
        <v>366.34156378600824</v>
      </c>
      <c r="I105" s="39">
        <f t="shared" si="31"/>
        <v>135</v>
      </c>
      <c r="J105" s="51">
        <f t="shared" si="32"/>
        <v>838.35</v>
      </c>
      <c r="K105" s="39">
        <f t="shared" si="38"/>
        <v>345</v>
      </c>
      <c r="L105" s="42" t="str">
        <f t="shared" si="39"/>
        <v>Net Section will Yeild before Fracture</v>
      </c>
      <c r="M105" s="1"/>
      <c r="N105" s="1"/>
      <c r="O105" s="1"/>
      <c r="P105" s="1"/>
      <c r="Q105" s="1"/>
      <c r="R105" s="1"/>
      <c r="S105" s="1"/>
    </row>
    <row r="106" spans="1:19" ht="15">
      <c r="A106" s="38">
        <v>3</v>
      </c>
      <c r="B106" s="39">
        <f t="shared" si="33"/>
        <v>33</v>
      </c>
      <c r="C106" s="40">
        <v>-15</v>
      </c>
      <c r="D106" s="39">
        <f t="shared" si="34"/>
        <v>57</v>
      </c>
      <c r="E106" s="41">
        <f t="shared" si="35"/>
        <v>0.091</v>
      </c>
      <c r="F106" s="39">
        <f t="shared" si="36"/>
        <v>2.812</v>
      </c>
      <c r="G106" s="51">
        <f t="shared" si="37"/>
        <v>835.19</v>
      </c>
      <c r="H106" s="52">
        <f t="shared" si="30"/>
        <v>346.26451077943614</v>
      </c>
      <c r="I106" s="39">
        <f t="shared" si="31"/>
        <v>134</v>
      </c>
      <c r="J106" s="51">
        <f t="shared" si="32"/>
        <v>832.14</v>
      </c>
      <c r="K106" s="39">
        <f t="shared" si="38"/>
        <v>345</v>
      </c>
      <c r="L106" s="42" t="str">
        <f t="shared" si="39"/>
        <v>Net Section will Yeild before Fracture</v>
      </c>
      <c r="M106" s="1"/>
      <c r="N106" s="1"/>
      <c r="O106" s="1"/>
      <c r="P106" s="1"/>
      <c r="Q106" s="1"/>
      <c r="R106" s="1"/>
      <c r="S106" s="1"/>
    </row>
    <row r="107" spans="1:19" ht="15">
      <c r="A107" s="38">
        <v>3.1</v>
      </c>
      <c r="B107" s="39">
        <f t="shared" si="33"/>
        <v>33.1</v>
      </c>
      <c r="C107" s="40">
        <v>-15</v>
      </c>
      <c r="D107" s="39">
        <f t="shared" si="34"/>
        <v>57</v>
      </c>
      <c r="E107" s="41">
        <f t="shared" si="35"/>
        <v>0.094</v>
      </c>
      <c r="F107" s="39">
        <f t="shared" si="36"/>
        <v>2.796</v>
      </c>
      <c r="G107" s="51">
        <f t="shared" si="37"/>
        <v>826.31</v>
      </c>
      <c r="H107" s="52">
        <f t="shared" si="30"/>
        <v>343.09500083042684</v>
      </c>
      <c r="I107" s="39">
        <f t="shared" si="31"/>
        <v>133.8</v>
      </c>
      <c r="J107" s="51">
        <f t="shared" si="32"/>
        <v>830.898</v>
      </c>
      <c r="K107" s="39">
        <f t="shared" si="38"/>
        <v>344.99999999999994</v>
      </c>
      <c r="L107" s="42" t="str">
        <f t="shared" si="39"/>
        <v>Net Section will Fracture</v>
      </c>
      <c r="M107" s="1"/>
      <c r="N107" s="1"/>
      <c r="O107" s="1"/>
      <c r="P107" s="1"/>
      <c r="Q107" s="1"/>
      <c r="R107" s="1"/>
      <c r="S107" s="1"/>
    </row>
    <row r="108" spans="1:19" ht="15">
      <c r="A108" s="38">
        <v>4</v>
      </c>
      <c r="B108" s="39">
        <f t="shared" si="33"/>
        <v>34</v>
      </c>
      <c r="C108" s="40">
        <v>-15</v>
      </c>
      <c r="D108" s="39">
        <f t="shared" si="34"/>
        <v>57</v>
      </c>
      <c r="E108" s="41">
        <f t="shared" si="35"/>
        <v>0.118</v>
      </c>
      <c r="F108" s="39">
        <f t="shared" si="36"/>
        <v>2.67</v>
      </c>
      <c r="G108" s="51">
        <f t="shared" si="37"/>
        <v>761.76</v>
      </c>
      <c r="H108" s="52">
        <f t="shared" si="30"/>
        <v>320.6060606060606</v>
      </c>
      <c r="I108" s="39">
        <f t="shared" si="31"/>
        <v>132</v>
      </c>
      <c r="J108" s="51">
        <f t="shared" si="32"/>
        <v>819.72</v>
      </c>
      <c r="K108" s="39">
        <f t="shared" si="38"/>
        <v>345</v>
      </c>
      <c r="L108" s="42" t="str">
        <f t="shared" si="39"/>
        <v>Net Section will Fracture</v>
      </c>
      <c r="M108" s="1"/>
      <c r="N108" s="1"/>
      <c r="O108" s="1"/>
      <c r="P108" s="1"/>
      <c r="Q108" s="1"/>
      <c r="R108" s="1"/>
      <c r="S108" s="1"/>
    </row>
    <row r="109" spans="1:19" ht="15">
      <c r="A109" s="38">
        <v>5</v>
      </c>
      <c r="B109" s="39">
        <f t="shared" si="33"/>
        <v>35</v>
      </c>
      <c r="C109" s="40">
        <v>-15</v>
      </c>
      <c r="D109" s="39">
        <f t="shared" si="34"/>
        <v>57</v>
      </c>
      <c r="E109" s="41">
        <f t="shared" si="35"/>
        <v>0.143</v>
      </c>
      <c r="F109" s="39">
        <f t="shared" si="36"/>
        <v>2.546</v>
      </c>
      <c r="G109" s="51">
        <f t="shared" si="37"/>
        <v>714.52</v>
      </c>
      <c r="H109" s="52">
        <f t="shared" si="30"/>
        <v>305.35042735042737</v>
      </c>
      <c r="I109" s="39">
        <f t="shared" si="31"/>
        <v>130</v>
      </c>
      <c r="J109" s="51">
        <f t="shared" si="32"/>
        <v>807.3</v>
      </c>
      <c r="K109" s="39">
        <f t="shared" si="38"/>
        <v>345</v>
      </c>
      <c r="L109" s="42" t="str">
        <f t="shared" si="39"/>
        <v>Net Section will Fracture</v>
      </c>
      <c r="M109" s="1"/>
      <c r="N109" s="1"/>
      <c r="O109" s="1"/>
      <c r="P109" s="1"/>
      <c r="Q109" s="1"/>
      <c r="R109" s="1"/>
      <c r="S109" s="1"/>
    </row>
    <row r="110" spans="1:19" ht="15">
      <c r="A110" s="38">
        <v>6</v>
      </c>
      <c r="B110" s="39">
        <f t="shared" si="33"/>
        <v>36</v>
      </c>
      <c r="C110" s="40">
        <v>-15</v>
      </c>
      <c r="D110" s="39">
        <f t="shared" si="34"/>
        <v>57</v>
      </c>
      <c r="E110" s="41">
        <f t="shared" si="35"/>
        <v>0.167</v>
      </c>
      <c r="F110" s="39">
        <f t="shared" si="36"/>
        <v>2.434</v>
      </c>
      <c r="G110" s="51">
        <f t="shared" si="37"/>
        <v>682.28</v>
      </c>
      <c r="H110" s="52">
        <f t="shared" si="30"/>
        <v>296.12847222222223</v>
      </c>
      <c r="I110" s="39">
        <f t="shared" si="31"/>
        <v>128</v>
      </c>
      <c r="J110" s="51">
        <f t="shared" si="32"/>
        <v>794.88</v>
      </c>
      <c r="K110" s="39">
        <f t="shared" si="38"/>
        <v>345</v>
      </c>
      <c r="L110" s="42" t="str">
        <f t="shared" si="39"/>
        <v>Net Section will Fracture</v>
      </c>
      <c r="M110" s="1"/>
      <c r="N110" s="1"/>
      <c r="O110" s="1"/>
      <c r="P110" s="1"/>
      <c r="Q110" s="1"/>
      <c r="R110" s="1"/>
      <c r="S110" s="1"/>
    </row>
    <row r="111" spans="1:19" ht="15">
      <c r="A111" s="38">
        <v>7</v>
      </c>
      <c r="B111" s="39">
        <f t="shared" si="33"/>
        <v>37</v>
      </c>
      <c r="C111" s="40">
        <v>-15</v>
      </c>
      <c r="D111" s="39">
        <f t="shared" si="34"/>
        <v>57</v>
      </c>
      <c r="E111" s="41">
        <f t="shared" si="35"/>
        <v>0.189</v>
      </c>
      <c r="F111" s="39">
        <f t="shared" si="36"/>
        <v>2.337</v>
      </c>
      <c r="G111" s="51">
        <f t="shared" si="37"/>
        <v>657.89</v>
      </c>
      <c r="H111" s="52">
        <f t="shared" si="30"/>
        <v>290.07495590828927</v>
      </c>
      <c r="I111" s="39">
        <f t="shared" si="31"/>
        <v>126</v>
      </c>
      <c r="J111" s="51">
        <f t="shared" si="32"/>
        <v>782.46</v>
      </c>
      <c r="K111" s="39">
        <f t="shared" si="38"/>
        <v>345</v>
      </c>
      <c r="L111" s="42" t="str">
        <f t="shared" si="39"/>
        <v>Net Section will Fracture</v>
      </c>
      <c r="M111" s="1"/>
      <c r="N111" s="1"/>
      <c r="O111" s="1"/>
      <c r="P111" s="1"/>
      <c r="Q111" s="1"/>
      <c r="R111" s="1"/>
      <c r="S111" s="1"/>
    </row>
    <row r="112" spans="1:19" ht="15">
      <c r="A112" s="38">
        <v>8</v>
      </c>
      <c r="B112" s="39">
        <f t="shared" si="33"/>
        <v>38</v>
      </c>
      <c r="C112" s="40">
        <v>-15</v>
      </c>
      <c r="D112" s="39">
        <f t="shared" si="34"/>
        <v>57</v>
      </c>
      <c r="E112" s="41">
        <f t="shared" si="35"/>
        <v>0.211</v>
      </c>
      <c r="F112" s="39">
        <f t="shared" si="36"/>
        <v>2.246</v>
      </c>
      <c r="G112" s="51">
        <f t="shared" si="37"/>
        <v>640.33</v>
      </c>
      <c r="H112" s="52">
        <f t="shared" si="30"/>
        <v>286.8862007168459</v>
      </c>
      <c r="I112" s="39">
        <f t="shared" si="31"/>
        <v>124</v>
      </c>
      <c r="J112" s="51">
        <f t="shared" si="32"/>
        <v>770.04</v>
      </c>
      <c r="K112" s="39">
        <f t="shared" si="38"/>
        <v>345</v>
      </c>
      <c r="L112" s="42" t="str">
        <f t="shared" si="39"/>
        <v>Net Section will Fracture</v>
      </c>
      <c r="M112" s="1"/>
      <c r="N112" s="1"/>
      <c r="O112" s="1"/>
      <c r="P112" s="1"/>
      <c r="Q112" s="1"/>
      <c r="R112" s="1"/>
      <c r="S112" s="1"/>
    </row>
    <row r="113" spans="1:19" ht="15">
      <c r="A113" s="38">
        <v>9</v>
      </c>
      <c r="B113" s="39">
        <f t="shared" si="33"/>
        <v>39</v>
      </c>
      <c r="C113" s="40">
        <v>-15</v>
      </c>
      <c r="D113" s="39">
        <f t="shared" si="34"/>
        <v>57</v>
      </c>
      <c r="E113" s="41">
        <f t="shared" si="35"/>
        <v>0.231</v>
      </c>
      <c r="F113" s="39">
        <f t="shared" si="36"/>
        <v>2.167</v>
      </c>
      <c r="G113" s="51">
        <f t="shared" si="37"/>
        <v>625.72</v>
      </c>
      <c r="H113" s="52">
        <f t="shared" si="30"/>
        <v>284.93624772313296</v>
      </c>
      <c r="I113" s="39">
        <f t="shared" si="31"/>
        <v>122</v>
      </c>
      <c r="J113" s="51">
        <f t="shared" si="32"/>
        <v>757.62</v>
      </c>
      <c r="K113" s="39">
        <f t="shared" si="38"/>
        <v>345</v>
      </c>
      <c r="L113" s="42" t="str">
        <f t="shared" si="39"/>
        <v>Net Section will Fracture</v>
      </c>
      <c r="M113" s="1"/>
      <c r="N113" s="1"/>
      <c r="O113" s="1"/>
      <c r="P113" s="1"/>
      <c r="Q113" s="1"/>
      <c r="R113" s="1"/>
      <c r="S113" s="1"/>
    </row>
    <row r="114" spans="1:19" ht="15">
      <c r="A114" s="43">
        <v>10</v>
      </c>
      <c r="B114" s="44">
        <f t="shared" si="33"/>
        <v>40</v>
      </c>
      <c r="C114" s="45">
        <v>-15</v>
      </c>
      <c r="D114" s="44">
        <f t="shared" si="34"/>
        <v>57</v>
      </c>
      <c r="E114" s="46">
        <f t="shared" si="35"/>
        <v>0.25</v>
      </c>
      <c r="F114" s="44">
        <f t="shared" si="36"/>
        <v>2.096</v>
      </c>
      <c r="G114" s="53">
        <f t="shared" si="37"/>
        <v>613.72</v>
      </c>
      <c r="H114" s="54">
        <f t="shared" si="30"/>
        <v>284.1296296296296</v>
      </c>
      <c r="I114" s="44">
        <f t="shared" si="31"/>
        <v>120</v>
      </c>
      <c r="J114" s="53">
        <f t="shared" si="32"/>
        <v>745.2</v>
      </c>
      <c r="K114" s="44">
        <f t="shared" si="38"/>
        <v>345</v>
      </c>
      <c r="L114" s="47" t="str">
        <f t="shared" si="39"/>
        <v>Net Section will Fracture</v>
      </c>
      <c r="M114" s="1"/>
      <c r="N114" s="1"/>
      <c r="O114" s="1"/>
      <c r="P114" s="1"/>
      <c r="Q114" s="1"/>
      <c r="R114" s="1"/>
      <c r="S114" s="1"/>
    </row>
    <row r="115" spans="1:19" ht="15">
      <c r="A115" s="1"/>
      <c r="B115" s="1"/>
      <c r="C115" s="1"/>
      <c r="D115" s="1"/>
      <c r="E115" s="1"/>
      <c r="F115" s="1"/>
      <c r="G115" s="57"/>
      <c r="H115" s="57"/>
      <c r="I115" s="1"/>
      <c r="J115" s="57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>
      <c r="A116" s="1"/>
      <c r="B116" s="1"/>
      <c r="C116" s="1"/>
      <c r="D116" s="1"/>
      <c r="E116" s="1"/>
      <c r="F116" s="1"/>
      <c r="G116" s="57"/>
      <c r="H116" s="57"/>
      <c r="I116" s="1"/>
      <c r="J116" s="57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>
      <c r="A117" s="1"/>
      <c r="B117" s="1"/>
      <c r="C117" s="1"/>
      <c r="D117" s="1"/>
      <c r="E117" s="1"/>
      <c r="F117" s="1"/>
      <c r="G117" s="57"/>
      <c r="H117" s="57"/>
      <c r="I117" s="1"/>
      <c r="J117" s="57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26.25">
      <c r="A118" s="10" t="s">
        <v>59</v>
      </c>
      <c r="B118" s="10"/>
      <c r="C118" s="10"/>
      <c r="D118" s="15"/>
      <c r="E118" s="10"/>
      <c r="F118" s="10"/>
      <c r="G118" s="127" t="s">
        <v>40</v>
      </c>
      <c r="H118" s="128"/>
      <c r="I118" s="10"/>
      <c r="J118" s="60" t="s">
        <v>41</v>
      </c>
      <c r="K118" s="10"/>
      <c r="L118" s="10"/>
      <c r="M118" s="1"/>
      <c r="N118" s="1"/>
      <c r="O118" s="1"/>
      <c r="P118" s="1"/>
      <c r="Q118" s="1"/>
      <c r="R118" s="1"/>
      <c r="S118" s="1"/>
    </row>
    <row r="119" spans="1:19" ht="54" customHeight="1">
      <c r="A119" s="29" t="s">
        <v>38</v>
      </c>
      <c r="B119" s="27" t="s">
        <v>52</v>
      </c>
      <c r="C119" s="29" t="s">
        <v>37</v>
      </c>
      <c r="D119" s="28" t="s">
        <v>39</v>
      </c>
      <c r="E119" s="31" t="s">
        <v>49</v>
      </c>
      <c r="F119" s="31" t="s">
        <v>53</v>
      </c>
      <c r="G119" s="61" t="s">
        <v>62</v>
      </c>
      <c r="H119" s="62" t="s">
        <v>50</v>
      </c>
      <c r="I119" s="29" t="s">
        <v>42</v>
      </c>
      <c r="J119" s="61" t="s">
        <v>63</v>
      </c>
      <c r="K119" s="30" t="s">
        <v>51</v>
      </c>
      <c r="L119" s="32"/>
      <c r="M119" s="1"/>
      <c r="N119" s="1"/>
      <c r="O119" s="1"/>
      <c r="P119" s="1"/>
      <c r="Q119" s="1"/>
      <c r="R119" s="1"/>
      <c r="S119" s="1"/>
    </row>
    <row r="120" spans="1:19" ht="15">
      <c r="A120" s="33">
        <v>1</v>
      </c>
      <c r="B120" s="34">
        <f>($F$7/2+$A120)</f>
        <v>31</v>
      </c>
      <c r="C120" s="35">
        <v>-30</v>
      </c>
      <c r="D120" s="34">
        <f>60+0.2*C120</f>
        <v>54</v>
      </c>
      <c r="E120" s="36">
        <f>ROUND($A120/($F$7/2+$A120),3)</f>
        <v>0.032</v>
      </c>
      <c r="F120" s="34">
        <f>ROUND(0.5*(3-E120)*(1+1.243*(1-E120)^3),3)</f>
        <v>3.157</v>
      </c>
      <c r="G120" s="49">
        <f>ROUND($D120/($F120*$G$37*SQRT(PI()*$A120/1000))/1000,2)</f>
        <v>1220.69</v>
      </c>
      <c r="H120" s="50">
        <f aca="true" t="shared" si="40" ref="H120:H132">G120*1000/(I120*$F$4*0.9)</f>
        <v>491.4210950080515</v>
      </c>
      <c r="I120" s="34">
        <f aca="true" t="shared" si="41" ref="I120:I132">$F$5-$F$7-2*$A120</f>
        <v>138</v>
      </c>
      <c r="J120" s="49">
        <f aca="true" t="shared" si="42" ref="J120:J132">0.9*$E$24*$I120*$F$4/1000</f>
        <v>856.98</v>
      </c>
      <c r="K120" s="34">
        <f>J120*1000/(0.9*$I120*$F$4)</f>
        <v>345</v>
      </c>
      <c r="L120" s="37" t="str">
        <f>IF($H120&gt;$K120,"Net Section will Yeild before Fracture","Net Section will Fracture")</f>
        <v>Net Section will Yeild before Fracture</v>
      </c>
      <c r="M120" s="1"/>
      <c r="N120" s="1"/>
      <c r="O120" s="1"/>
      <c r="P120" s="1"/>
      <c r="Q120" s="1"/>
      <c r="R120" s="1"/>
      <c r="S120" s="1"/>
    </row>
    <row r="121" spans="1:19" ht="15">
      <c r="A121" s="38">
        <v>1.5</v>
      </c>
      <c r="B121" s="39">
        <f aca="true" t="shared" si="43" ref="B121:B132">($F$7/2+$A121)</f>
        <v>31.5</v>
      </c>
      <c r="C121" s="40">
        <v>-30</v>
      </c>
      <c r="D121" s="39">
        <f aca="true" t="shared" si="44" ref="D121:D132">60+0.2*C121</f>
        <v>54</v>
      </c>
      <c r="E121" s="41">
        <f aca="true" t="shared" si="45" ref="E121:E132">ROUND($A121/($F$7/2+$A121),3)</f>
        <v>0.048</v>
      </c>
      <c r="F121" s="39">
        <f aca="true" t="shared" si="46" ref="F121:F132">ROUND(0.5*(3-E121)*(1+1.243*(1-E121)^3),3)</f>
        <v>3.059</v>
      </c>
      <c r="G121" s="51">
        <f aca="true" t="shared" si="47" ref="G121:G132">ROUND($D121/($F121*$G$37*SQRT(PI()*$A121/1000))/1000,2)</f>
        <v>1028.62</v>
      </c>
      <c r="H121" s="52">
        <f t="shared" si="40"/>
        <v>417.1208434712084</v>
      </c>
      <c r="I121" s="39">
        <f t="shared" si="41"/>
        <v>137</v>
      </c>
      <c r="J121" s="51">
        <f t="shared" si="42"/>
        <v>850.77</v>
      </c>
      <c r="K121" s="39">
        <f aca="true" t="shared" si="48" ref="K121:K132">J121*1000/(0.9*$I121*$F$4)</f>
        <v>345</v>
      </c>
      <c r="L121" s="42" t="str">
        <f aca="true" t="shared" si="49" ref="L121:L132">IF($H121&gt;$K121,"Net Section will Yeild before Fracture","Net Section will Fracture")</f>
        <v>Net Section will Yeild before Fracture</v>
      </c>
      <c r="M121" s="1"/>
      <c r="N121" s="1"/>
      <c r="O121" s="1"/>
      <c r="P121" s="1"/>
      <c r="Q121" s="1"/>
      <c r="R121" s="1"/>
      <c r="S121" s="1"/>
    </row>
    <row r="122" spans="1:19" ht="15">
      <c r="A122" s="38">
        <v>2</v>
      </c>
      <c r="B122" s="39">
        <f t="shared" si="43"/>
        <v>32</v>
      </c>
      <c r="C122" s="40">
        <v>-30</v>
      </c>
      <c r="D122" s="39">
        <f t="shared" si="44"/>
        <v>54</v>
      </c>
      <c r="E122" s="41">
        <f t="shared" si="45"/>
        <v>0.063</v>
      </c>
      <c r="F122" s="39">
        <f t="shared" si="46"/>
        <v>2.97</v>
      </c>
      <c r="G122" s="51">
        <f t="shared" si="47"/>
        <v>917.5</v>
      </c>
      <c r="H122" s="52">
        <f t="shared" si="40"/>
        <v>374.7957516339869</v>
      </c>
      <c r="I122" s="39">
        <f t="shared" si="41"/>
        <v>136</v>
      </c>
      <c r="J122" s="51">
        <f t="shared" si="42"/>
        <v>844.56</v>
      </c>
      <c r="K122" s="39">
        <f t="shared" si="48"/>
        <v>345</v>
      </c>
      <c r="L122" s="42" t="str">
        <f t="shared" si="49"/>
        <v>Net Section will Yeild before Fracture</v>
      </c>
      <c r="M122" s="1"/>
      <c r="N122" s="1"/>
      <c r="O122" s="1"/>
      <c r="P122" s="1"/>
      <c r="Q122" s="1"/>
      <c r="R122" s="1"/>
      <c r="S122" s="1"/>
    </row>
    <row r="123" spans="1:19" ht="15">
      <c r="A123" s="38">
        <v>2.5</v>
      </c>
      <c r="B123" s="39">
        <f t="shared" si="43"/>
        <v>32.5</v>
      </c>
      <c r="C123" s="40">
        <v>-30</v>
      </c>
      <c r="D123" s="39">
        <f t="shared" si="44"/>
        <v>54</v>
      </c>
      <c r="E123" s="41">
        <f t="shared" si="45"/>
        <v>0.077</v>
      </c>
      <c r="F123" s="39">
        <f t="shared" si="46"/>
        <v>2.89</v>
      </c>
      <c r="G123" s="51">
        <f t="shared" si="47"/>
        <v>843.36</v>
      </c>
      <c r="H123" s="52">
        <f t="shared" si="40"/>
        <v>347.0617283950617</v>
      </c>
      <c r="I123" s="39">
        <f t="shared" si="41"/>
        <v>135</v>
      </c>
      <c r="J123" s="51">
        <f t="shared" si="42"/>
        <v>838.35</v>
      </c>
      <c r="K123" s="39">
        <f t="shared" si="48"/>
        <v>345</v>
      </c>
      <c r="L123" s="42" t="str">
        <f t="shared" si="49"/>
        <v>Net Section will Yeild before Fracture</v>
      </c>
      <c r="M123" s="1"/>
      <c r="N123" s="1"/>
      <c r="O123" s="1"/>
      <c r="P123" s="1"/>
      <c r="Q123" s="1"/>
      <c r="R123" s="1"/>
      <c r="S123" s="1"/>
    </row>
    <row r="124" spans="1:19" ht="15">
      <c r="A124" s="38">
        <v>2.6</v>
      </c>
      <c r="B124" s="39">
        <f t="shared" si="43"/>
        <v>32.6</v>
      </c>
      <c r="C124" s="40">
        <v>-30</v>
      </c>
      <c r="D124" s="39">
        <f t="shared" si="44"/>
        <v>54</v>
      </c>
      <c r="E124" s="41">
        <f t="shared" si="45"/>
        <v>0.08</v>
      </c>
      <c r="F124" s="39">
        <f t="shared" si="46"/>
        <v>2.873</v>
      </c>
      <c r="G124" s="51">
        <f t="shared" si="47"/>
        <v>831.87</v>
      </c>
      <c r="H124" s="52">
        <f t="shared" si="40"/>
        <v>342.84124629080117</v>
      </c>
      <c r="I124" s="39">
        <f t="shared" si="41"/>
        <v>134.8</v>
      </c>
      <c r="J124" s="51">
        <f t="shared" si="42"/>
        <v>837.108</v>
      </c>
      <c r="K124" s="39">
        <f t="shared" si="48"/>
        <v>345</v>
      </c>
      <c r="L124" s="42" t="str">
        <f t="shared" si="49"/>
        <v>Net Section will Fracture</v>
      </c>
      <c r="M124" s="1"/>
      <c r="N124" s="1"/>
      <c r="O124" s="1"/>
      <c r="P124" s="1"/>
      <c r="Q124" s="1"/>
      <c r="R124" s="1"/>
      <c r="S124" s="1"/>
    </row>
    <row r="125" spans="1:19" ht="15">
      <c r="A125" s="38">
        <v>3.5</v>
      </c>
      <c r="B125" s="39">
        <f t="shared" si="43"/>
        <v>33.5</v>
      </c>
      <c r="C125" s="40">
        <v>-30</v>
      </c>
      <c r="D125" s="39">
        <f t="shared" si="44"/>
        <v>54</v>
      </c>
      <c r="E125" s="41">
        <f t="shared" si="45"/>
        <v>0.104</v>
      </c>
      <c r="F125" s="39">
        <f t="shared" si="46"/>
        <v>2.743</v>
      </c>
      <c r="G125" s="51">
        <f t="shared" si="47"/>
        <v>750.96</v>
      </c>
      <c r="H125" s="52">
        <f t="shared" si="40"/>
        <v>313.6842105263158</v>
      </c>
      <c r="I125" s="39">
        <f t="shared" si="41"/>
        <v>133</v>
      </c>
      <c r="J125" s="51">
        <f t="shared" si="42"/>
        <v>825.93</v>
      </c>
      <c r="K125" s="39">
        <f t="shared" si="48"/>
        <v>345</v>
      </c>
      <c r="L125" s="42" t="str">
        <f t="shared" si="49"/>
        <v>Net Section will Fracture</v>
      </c>
      <c r="M125" s="1"/>
      <c r="N125" s="1"/>
      <c r="O125" s="1"/>
      <c r="P125" s="1"/>
      <c r="Q125" s="1"/>
      <c r="R125" s="1"/>
      <c r="S125" s="1"/>
    </row>
    <row r="126" spans="1:19" ht="15">
      <c r="A126" s="38">
        <v>4</v>
      </c>
      <c r="B126" s="39">
        <f t="shared" si="43"/>
        <v>34</v>
      </c>
      <c r="C126" s="40">
        <v>-30</v>
      </c>
      <c r="D126" s="39">
        <f t="shared" si="44"/>
        <v>54</v>
      </c>
      <c r="E126" s="41">
        <f t="shared" si="45"/>
        <v>0.118</v>
      </c>
      <c r="F126" s="39">
        <f t="shared" si="46"/>
        <v>2.67</v>
      </c>
      <c r="G126" s="51">
        <f t="shared" si="47"/>
        <v>721.67</v>
      </c>
      <c r="H126" s="52">
        <f t="shared" si="40"/>
        <v>303.733164983165</v>
      </c>
      <c r="I126" s="39">
        <f t="shared" si="41"/>
        <v>132</v>
      </c>
      <c r="J126" s="51">
        <f t="shared" si="42"/>
        <v>819.72</v>
      </c>
      <c r="K126" s="39">
        <f t="shared" si="48"/>
        <v>345</v>
      </c>
      <c r="L126" s="42" t="str">
        <f t="shared" si="49"/>
        <v>Net Section will Fracture</v>
      </c>
      <c r="M126" s="1"/>
      <c r="N126" s="1"/>
      <c r="O126" s="1"/>
      <c r="P126" s="1"/>
      <c r="Q126" s="1"/>
      <c r="R126" s="1"/>
      <c r="S126" s="1"/>
    </row>
    <row r="127" spans="1:19" ht="15">
      <c r="A127" s="38">
        <v>5</v>
      </c>
      <c r="B127" s="39">
        <f t="shared" si="43"/>
        <v>35</v>
      </c>
      <c r="C127" s="40">
        <v>-30</v>
      </c>
      <c r="D127" s="39">
        <f t="shared" si="44"/>
        <v>54</v>
      </c>
      <c r="E127" s="41">
        <f t="shared" si="45"/>
        <v>0.143</v>
      </c>
      <c r="F127" s="39">
        <f t="shared" si="46"/>
        <v>2.546</v>
      </c>
      <c r="G127" s="51">
        <f t="shared" si="47"/>
        <v>676.92</v>
      </c>
      <c r="H127" s="52">
        <f t="shared" si="40"/>
        <v>289.28205128205127</v>
      </c>
      <c r="I127" s="39">
        <f t="shared" si="41"/>
        <v>130</v>
      </c>
      <c r="J127" s="51">
        <f t="shared" si="42"/>
        <v>807.3</v>
      </c>
      <c r="K127" s="39">
        <f t="shared" si="48"/>
        <v>345</v>
      </c>
      <c r="L127" s="42" t="str">
        <f t="shared" si="49"/>
        <v>Net Section will Fracture</v>
      </c>
      <c r="M127" s="1"/>
      <c r="N127" s="1"/>
      <c r="O127" s="1"/>
      <c r="P127" s="1"/>
      <c r="Q127" s="1"/>
      <c r="R127" s="1"/>
      <c r="S127" s="1"/>
    </row>
    <row r="128" spans="1:19" ht="15">
      <c r="A128" s="38">
        <v>6</v>
      </c>
      <c r="B128" s="39">
        <f t="shared" si="43"/>
        <v>36</v>
      </c>
      <c r="C128" s="40">
        <v>-30</v>
      </c>
      <c r="D128" s="39">
        <f t="shared" si="44"/>
        <v>54</v>
      </c>
      <c r="E128" s="41">
        <f t="shared" si="45"/>
        <v>0.167</v>
      </c>
      <c r="F128" s="39">
        <f t="shared" si="46"/>
        <v>2.434</v>
      </c>
      <c r="G128" s="51">
        <f t="shared" si="47"/>
        <v>646.37</v>
      </c>
      <c r="H128" s="52">
        <f t="shared" si="40"/>
        <v>280.54253472222223</v>
      </c>
      <c r="I128" s="39">
        <f t="shared" si="41"/>
        <v>128</v>
      </c>
      <c r="J128" s="51">
        <f t="shared" si="42"/>
        <v>794.88</v>
      </c>
      <c r="K128" s="39">
        <f t="shared" si="48"/>
        <v>345</v>
      </c>
      <c r="L128" s="42" t="str">
        <f t="shared" si="49"/>
        <v>Net Section will Fracture</v>
      </c>
      <c r="M128" s="1"/>
      <c r="N128" s="1"/>
      <c r="O128" s="1"/>
      <c r="P128" s="1"/>
      <c r="Q128" s="1"/>
      <c r="R128" s="1"/>
      <c r="S128" s="1"/>
    </row>
    <row r="129" spans="1:19" ht="15">
      <c r="A129" s="38">
        <v>7</v>
      </c>
      <c r="B129" s="39">
        <f t="shared" si="43"/>
        <v>37</v>
      </c>
      <c r="C129" s="40">
        <v>-30</v>
      </c>
      <c r="D129" s="39">
        <f t="shared" si="44"/>
        <v>54</v>
      </c>
      <c r="E129" s="41">
        <f t="shared" si="45"/>
        <v>0.189</v>
      </c>
      <c r="F129" s="39">
        <f t="shared" si="46"/>
        <v>2.337</v>
      </c>
      <c r="G129" s="51">
        <f t="shared" si="47"/>
        <v>623.26</v>
      </c>
      <c r="H129" s="52">
        <f t="shared" si="40"/>
        <v>274.80599647266314</v>
      </c>
      <c r="I129" s="39">
        <f t="shared" si="41"/>
        <v>126</v>
      </c>
      <c r="J129" s="51">
        <f t="shared" si="42"/>
        <v>782.46</v>
      </c>
      <c r="K129" s="39">
        <f t="shared" si="48"/>
        <v>345</v>
      </c>
      <c r="L129" s="42" t="str">
        <f t="shared" si="49"/>
        <v>Net Section will Fracture</v>
      </c>
      <c r="M129" s="1"/>
      <c r="N129" s="1"/>
      <c r="O129" s="1"/>
      <c r="P129" s="1"/>
      <c r="Q129" s="1"/>
      <c r="R129" s="1"/>
      <c r="S129" s="1"/>
    </row>
    <row r="130" spans="1:19" ht="15">
      <c r="A130" s="38">
        <v>8</v>
      </c>
      <c r="B130" s="39">
        <f t="shared" si="43"/>
        <v>38</v>
      </c>
      <c r="C130" s="40">
        <v>-30</v>
      </c>
      <c r="D130" s="39">
        <f t="shared" si="44"/>
        <v>54</v>
      </c>
      <c r="E130" s="41">
        <f t="shared" si="45"/>
        <v>0.211</v>
      </c>
      <c r="F130" s="39">
        <f t="shared" si="46"/>
        <v>2.246</v>
      </c>
      <c r="G130" s="51">
        <f t="shared" si="47"/>
        <v>606.63</v>
      </c>
      <c r="H130" s="52">
        <f t="shared" si="40"/>
        <v>271.7876344086022</v>
      </c>
      <c r="I130" s="39">
        <f t="shared" si="41"/>
        <v>124</v>
      </c>
      <c r="J130" s="51">
        <f t="shared" si="42"/>
        <v>770.04</v>
      </c>
      <c r="K130" s="39">
        <f t="shared" si="48"/>
        <v>345</v>
      </c>
      <c r="L130" s="42" t="str">
        <f t="shared" si="49"/>
        <v>Net Section will Fracture</v>
      </c>
      <c r="M130" s="1"/>
      <c r="N130" s="1"/>
      <c r="O130" s="1"/>
      <c r="P130" s="1"/>
      <c r="Q130" s="1"/>
      <c r="R130" s="1"/>
      <c r="S130" s="1"/>
    </row>
    <row r="131" spans="1:19" ht="15">
      <c r="A131" s="38">
        <v>9</v>
      </c>
      <c r="B131" s="39">
        <f t="shared" si="43"/>
        <v>39</v>
      </c>
      <c r="C131" s="40">
        <v>-30</v>
      </c>
      <c r="D131" s="39">
        <f t="shared" si="44"/>
        <v>54</v>
      </c>
      <c r="E131" s="41">
        <f t="shared" si="45"/>
        <v>0.231</v>
      </c>
      <c r="F131" s="39">
        <f t="shared" si="46"/>
        <v>2.167</v>
      </c>
      <c r="G131" s="51">
        <f t="shared" si="47"/>
        <v>592.79</v>
      </c>
      <c r="H131" s="52">
        <f t="shared" si="40"/>
        <v>269.9408014571949</v>
      </c>
      <c r="I131" s="39">
        <f t="shared" si="41"/>
        <v>122</v>
      </c>
      <c r="J131" s="51">
        <f t="shared" si="42"/>
        <v>757.62</v>
      </c>
      <c r="K131" s="39">
        <f t="shared" si="48"/>
        <v>345</v>
      </c>
      <c r="L131" s="42" t="str">
        <f t="shared" si="49"/>
        <v>Net Section will Fracture</v>
      </c>
      <c r="M131" s="1"/>
      <c r="N131" s="1"/>
      <c r="O131" s="1"/>
      <c r="P131" s="1"/>
      <c r="Q131" s="1"/>
      <c r="R131" s="1"/>
      <c r="S131" s="1"/>
    </row>
    <row r="132" spans="1:19" ht="15">
      <c r="A132" s="43">
        <v>10</v>
      </c>
      <c r="B132" s="44">
        <f t="shared" si="43"/>
        <v>40</v>
      </c>
      <c r="C132" s="45">
        <v>-30</v>
      </c>
      <c r="D132" s="44">
        <f t="shared" si="44"/>
        <v>54</v>
      </c>
      <c r="E132" s="46">
        <f t="shared" si="45"/>
        <v>0.25</v>
      </c>
      <c r="F132" s="44">
        <f t="shared" si="46"/>
        <v>2.096</v>
      </c>
      <c r="G132" s="53">
        <f t="shared" si="47"/>
        <v>581.42</v>
      </c>
      <c r="H132" s="54">
        <f t="shared" si="40"/>
        <v>269.1759259259259</v>
      </c>
      <c r="I132" s="44">
        <f t="shared" si="41"/>
        <v>120</v>
      </c>
      <c r="J132" s="53">
        <f t="shared" si="42"/>
        <v>745.2</v>
      </c>
      <c r="K132" s="44">
        <f t="shared" si="48"/>
        <v>345</v>
      </c>
      <c r="L132" s="47" t="str">
        <f t="shared" si="49"/>
        <v>Net Section will Fracture</v>
      </c>
      <c r="M132" s="1"/>
      <c r="N132" s="1"/>
      <c r="O132" s="1"/>
      <c r="P132" s="1"/>
      <c r="Q132" s="1"/>
      <c r="R132" s="1"/>
      <c r="S132" s="1"/>
    </row>
    <row r="133" spans="1:19" ht="15">
      <c r="A133" s="1"/>
      <c r="B133" s="1"/>
      <c r="C133" s="1"/>
      <c r="D133" s="1"/>
      <c r="E133" s="1"/>
      <c r="F133" s="1"/>
      <c r="G133" s="57"/>
      <c r="H133" s="57"/>
      <c r="I133" s="1"/>
      <c r="J133" s="57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>
      <c r="A134" s="1"/>
      <c r="B134" s="1"/>
      <c r="C134" s="1"/>
      <c r="D134" s="1"/>
      <c r="E134" s="1"/>
      <c r="F134" s="1"/>
      <c r="G134" s="57"/>
      <c r="H134" s="57"/>
      <c r="I134" s="1"/>
      <c r="J134" s="57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">
      <c r="A135" s="1"/>
      <c r="B135" s="1"/>
      <c r="C135" s="1"/>
      <c r="D135" s="1"/>
      <c r="E135" s="1"/>
      <c r="F135" s="1"/>
      <c r="G135" s="57"/>
      <c r="H135" s="57"/>
      <c r="I135" s="1"/>
      <c r="J135" s="57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26.25">
      <c r="A136" s="10" t="s">
        <v>60</v>
      </c>
      <c r="B136" s="10"/>
      <c r="C136" s="10"/>
      <c r="D136" s="15"/>
      <c r="E136" s="10"/>
      <c r="F136" s="10"/>
      <c r="G136" s="127" t="s">
        <v>40</v>
      </c>
      <c r="H136" s="128"/>
      <c r="I136" s="10"/>
      <c r="J136" s="60" t="s">
        <v>41</v>
      </c>
      <c r="K136" s="10"/>
      <c r="L136" s="10"/>
      <c r="M136" s="1"/>
      <c r="N136" s="1"/>
      <c r="O136" s="1"/>
      <c r="P136" s="1"/>
      <c r="Q136" s="1"/>
      <c r="R136" s="1"/>
      <c r="S136" s="1"/>
    </row>
    <row r="137" spans="1:19" ht="53.25" customHeight="1">
      <c r="A137" s="29" t="s">
        <v>38</v>
      </c>
      <c r="B137" s="27" t="s">
        <v>52</v>
      </c>
      <c r="C137" s="29" t="s">
        <v>37</v>
      </c>
      <c r="D137" s="28" t="s">
        <v>39</v>
      </c>
      <c r="E137" s="31" t="s">
        <v>49</v>
      </c>
      <c r="F137" s="31" t="s">
        <v>53</v>
      </c>
      <c r="G137" s="61" t="s">
        <v>62</v>
      </c>
      <c r="H137" s="62" t="s">
        <v>50</v>
      </c>
      <c r="I137" s="29" t="s">
        <v>42</v>
      </c>
      <c r="J137" s="61" t="s">
        <v>63</v>
      </c>
      <c r="K137" s="30" t="s">
        <v>51</v>
      </c>
      <c r="L137" s="32"/>
      <c r="M137" s="1"/>
      <c r="N137" s="1"/>
      <c r="O137" s="1"/>
      <c r="P137" s="1"/>
      <c r="Q137" s="1"/>
      <c r="R137" s="1"/>
      <c r="S137" s="1"/>
    </row>
    <row r="138" spans="1:19" ht="15">
      <c r="A138" s="33">
        <v>1</v>
      </c>
      <c r="B138" s="34">
        <f>($F$7/2+$A138)</f>
        <v>31</v>
      </c>
      <c r="C138" s="35">
        <v>-45</v>
      </c>
      <c r="D138" s="34">
        <f>60+0.2*C138</f>
        <v>51</v>
      </c>
      <c r="E138" s="36">
        <f>ROUND($A138/($F$7/2+$A138),3)</f>
        <v>0.032</v>
      </c>
      <c r="F138" s="34">
        <f>ROUND(0.5*(3-E138)*(1+1.243*(1-E138)^3),3)</f>
        <v>3.157</v>
      </c>
      <c r="G138" s="49">
        <f>ROUND($D138/($F138*$G$37*SQRT(PI()*$A138/1000))/1000,2)</f>
        <v>1152.87</v>
      </c>
      <c r="H138" s="50">
        <f aca="true" t="shared" si="50" ref="H138:H150">G138*1000/(I138*$F$4*0.9)</f>
        <v>464.1183574879227</v>
      </c>
      <c r="I138" s="34">
        <f aca="true" t="shared" si="51" ref="I138:I150">$F$5-$F$7-2*$A138</f>
        <v>138</v>
      </c>
      <c r="J138" s="49">
        <f aca="true" t="shared" si="52" ref="J138:J150">0.9*$E$24*$I138*$F$4/1000</f>
        <v>856.98</v>
      </c>
      <c r="K138" s="34">
        <f>J138*1000/(0.9*$I138*$F$4)</f>
        <v>345</v>
      </c>
      <c r="L138" s="37" t="str">
        <f>IF($H138&gt;$K138,"Net Section will Yeild before Fracture","Net Section will Fracture")</f>
        <v>Net Section will Yeild before Fracture</v>
      </c>
      <c r="M138" s="1"/>
      <c r="N138" s="1"/>
      <c r="O138" s="1"/>
      <c r="P138" s="1"/>
      <c r="Q138" s="1"/>
      <c r="R138" s="1"/>
      <c r="S138" s="1"/>
    </row>
    <row r="139" spans="1:19" ht="15">
      <c r="A139" s="38">
        <v>1.5</v>
      </c>
      <c r="B139" s="39">
        <f aca="true" t="shared" si="53" ref="B139:B150">($F$7/2+$A139)</f>
        <v>31.5</v>
      </c>
      <c r="C139" s="40">
        <v>-45</v>
      </c>
      <c r="D139" s="39">
        <f aca="true" t="shared" si="54" ref="D139:D150">60+0.2*C139</f>
        <v>51</v>
      </c>
      <c r="E139" s="41">
        <f aca="true" t="shared" si="55" ref="E139:E150">ROUND($A139/($F$7/2+$A139),3)</f>
        <v>0.048</v>
      </c>
      <c r="F139" s="39">
        <f aca="true" t="shared" si="56" ref="F139:F150">ROUND(0.5*(3-E139)*(1+1.243*(1-E139)^3),3)</f>
        <v>3.059</v>
      </c>
      <c r="G139" s="51">
        <f aca="true" t="shared" si="57" ref="G139:G150">ROUND($D139/($F139*$G$37*SQRT(PI()*$A139/1000))/1000,2)</f>
        <v>971.47</v>
      </c>
      <c r="H139" s="52">
        <f t="shared" si="50"/>
        <v>393.9456609894566</v>
      </c>
      <c r="I139" s="39">
        <f t="shared" si="51"/>
        <v>137</v>
      </c>
      <c r="J139" s="51">
        <f t="shared" si="52"/>
        <v>850.77</v>
      </c>
      <c r="K139" s="39">
        <f aca="true" t="shared" si="58" ref="K139:K150">J139*1000/(0.9*$I139*$F$4)</f>
        <v>345</v>
      </c>
      <c r="L139" s="42" t="str">
        <f aca="true" t="shared" si="59" ref="L139:L150">IF($H139&gt;$K139,"Net Section will Yeild before Fracture","Net Section will Fracture")</f>
        <v>Net Section will Yeild before Fracture</v>
      </c>
      <c r="M139" s="1"/>
      <c r="N139" s="1"/>
      <c r="O139" s="1"/>
      <c r="P139" s="1"/>
      <c r="Q139" s="1"/>
      <c r="R139" s="1"/>
      <c r="S139" s="1"/>
    </row>
    <row r="140" spans="1:19" ht="15">
      <c r="A140" s="38">
        <v>2</v>
      </c>
      <c r="B140" s="39">
        <f t="shared" si="53"/>
        <v>32</v>
      </c>
      <c r="C140" s="40">
        <v>-45</v>
      </c>
      <c r="D140" s="39">
        <f t="shared" si="54"/>
        <v>51</v>
      </c>
      <c r="E140" s="41">
        <f t="shared" si="55"/>
        <v>0.063</v>
      </c>
      <c r="F140" s="39">
        <f t="shared" si="56"/>
        <v>2.97</v>
      </c>
      <c r="G140" s="51">
        <f t="shared" si="57"/>
        <v>866.53</v>
      </c>
      <c r="H140" s="52">
        <f t="shared" si="50"/>
        <v>353.9746732026144</v>
      </c>
      <c r="I140" s="39">
        <f t="shared" si="51"/>
        <v>136</v>
      </c>
      <c r="J140" s="51">
        <f t="shared" si="52"/>
        <v>844.56</v>
      </c>
      <c r="K140" s="39">
        <f t="shared" si="58"/>
        <v>345</v>
      </c>
      <c r="L140" s="42" t="str">
        <f t="shared" si="59"/>
        <v>Net Section will Yeild before Fracture</v>
      </c>
      <c r="M140" s="1"/>
      <c r="N140" s="1"/>
      <c r="O140" s="1"/>
      <c r="P140" s="1"/>
      <c r="Q140" s="1"/>
      <c r="R140" s="1"/>
      <c r="S140" s="1"/>
    </row>
    <row r="141" spans="1:19" ht="15">
      <c r="A141" s="38">
        <v>2.15</v>
      </c>
      <c r="B141" s="39">
        <f t="shared" si="53"/>
        <v>32.15</v>
      </c>
      <c r="C141" s="40">
        <v>-45</v>
      </c>
      <c r="D141" s="39">
        <f t="shared" si="54"/>
        <v>51</v>
      </c>
      <c r="E141" s="41">
        <f t="shared" si="55"/>
        <v>0.067</v>
      </c>
      <c r="F141" s="39">
        <f t="shared" si="56"/>
        <v>2.947</v>
      </c>
      <c r="G141" s="51">
        <f t="shared" si="57"/>
        <v>842.28</v>
      </c>
      <c r="H141" s="52">
        <f t="shared" si="50"/>
        <v>344.8292802751167</v>
      </c>
      <c r="I141" s="39">
        <f t="shared" si="51"/>
        <v>135.7</v>
      </c>
      <c r="J141" s="51">
        <f t="shared" si="52"/>
        <v>842.697</v>
      </c>
      <c r="K141" s="39">
        <f t="shared" si="58"/>
        <v>345</v>
      </c>
      <c r="L141" s="42" t="str">
        <f t="shared" si="59"/>
        <v>Net Section will Fracture</v>
      </c>
      <c r="M141" s="1"/>
      <c r="N141" s="1"/>
      <c r="O141" s="1"/>
      <c r="P141" s="1"/>
      <c r="Q141" s="1"/>
      <c r="R141" s="1"/>
      <c r="S141" s="1"/>
    </row>
    <row r="142" spans="1:19" ht="15">
      <c r="A142" s="38">
        <v>3</v>
      </c>
      <c r="B142" s="39">
        <f t="shared" si="53"/>
        <v>33</v>
      </c>
      <c r="C142" s="40">
        <v>-45</v>
      </c>
      <c r="D142" s="39">
        <f t="shared" si="54"/>
        <v>51</v>
      </c>
      <c r="E142" s="41">
        <f t="shared" si="55"/>
        <v>0.091</v>
      </c>
      <c r="F142" s="39">
        <f t="shared" si="56"/>
        <v>2.812</v>
      </c>
      <c r="G142" s="51">
        <f t="shared" si="57"/>
        <v>747.27</v>
      </c>
      <c r="H142" s="52">
        <f t="shared" si="50"/>
        <v>309.8134328358209</v>
      </c>
      <c r="I142" s="39">
        <f t="shared" si="51"/>
        <v>134</v>
      </c>
      <c r="J142" s="51">
        <f t="shared" si="52"/>
        <v>832.14</v>
      </c>
      <c r="K142" s="39">
        <f t="shared" si="58"/>
        <v>345</v>
      </c>
      <c r="L142" s="42" t="str">
        <f t="shared" si="59"/>
        <v>Net Section will Fracture</v>
      </c>
      <c r="M142" s="1"/>
      <c r="N142" s="1"/>
      <c r="O142" s="1"/>
      <c r="P142" s="1"/>
      <c r="Q142" s="1"/>
      <c r="R142" s="1"/>
      <c r="S142" s="1"/>
    </row>
    <row r="143" spans="1:19" ht="15">
      <c r="A143" s="38">
        <v>3.5</v>
      </c>
      <c r="B143" s="39">
        <f t="shared" si="53"/>
        <v>33.5</v>
      </c>
      <c r="C143" s="40">
        <v>-45</v>
      </c>
      <c r="D143" s="39">
        <f t="shared" si="54"/>
        <v>51</v>
      </c>
      <c r="E143" s="41">
        <f t="shared" si="55"/>
        <v>0.104</v>
      </c>
      <c r="F143" s="39">
        <f t="shared" si="56"/>
        <v>2.743</v>
      </c>
      <c r="G143" s="51">
        <f t="shared" si="57"/>
        <v>709.24</v>
      </c>
      <c r="H143" s="52">
        <f t="shared" si="50"/>
        <v>296.2573099415205</v>
      </c>
      <c r="I143" s="39">
        <f t="shared" si="51"/>
        <v>133</v>
      </c>
      <c r="J143" s="51">
        <f t="shared" si="52"/>
        <v>825.93</v>
      </c>
      <c r="K143" s="39">
        <f t="shared" si="58"/>
        <v>345</v>
      </c>
      <c r="L143" s="42" t="str">
        <f t="shared" si="59"/>
        <v>Net Section will Fracture</v>
      </c>
      <c r="M143" s="1"/>
      <c r="N143" s="1"/>
      <c r="O143" s="1"/>
      <c r="P143" s="1"/>
      <c r="Q143" s="1"/>
      <c r="R143" s="1"/>
      <c r="S143" s="1"/>
    </row>
    <row r="144" spans="1:19" ht="15">
      <c r="A144" s="38">
        <v>4</v>
      </c>
      <c r="B144" s="39">
        <f t="shared" si="53"/>
        <v>34</v>
      </c>
      <c r="C144" s="40">
        <v>-45</v>
      </c>
      <c r="D144" s="39">
        <f t="shared" si="54"/>
        <v>51</v>
      </c>
      <c r="E144" s="41">
        <f t="shared" si="55"/>
        <v>0.118</v>
      </c>
      <c r="F144" s="39">
        <f t="shared" si="56"/>
        <v>2.67</v>
      </c>
      <c r="G144" s="51">
        <f t="shared" si="57"/>
        <v>681.58</v>
      </c>
      <c r="H144" s="52">
        <f t="shared" si="50"/>
        <v>286.86026936026934</v>
      </c>
      <c r="I144" s="39">
        <f t="shared" si="51"/>
        <v>132</v>
      </c>
      <c r="J144" s="51">
        <f t="shared" si="52"/>
        <v>819.72</v>
      </c>
      <c r="K144" s="39">
        <f t="shared" si="58"/>
        <v>345</v>
      </c>
      <c r="L144" s="42" t="str">
        <f t="shared" si="59"/>
        <v>Net Section will Fracture</v>
      </c>
      <c r="M144" s="1"/>
      <c r="N144" s="1"/>
      <c r="O144" s="1"/>
      <c r="P144" s="1"/>
      <c r="Q144" s="1"/>
      <c r="R144" s="1"/>
      <c r="S144" s="1"/>
    </row>
    <row r="145" spans="1:19" ht="15">
      <c r="A145" s="38">
        <v>5</v>
      </c>
      <c r="B145" s="39">
        <f t="shared" si="53"/>
        <v>35</v>
      </c>
      <c r="C145" s="40">
        <v>-45</v>
      </c>
      <c r="D145" s="39">
        <f t="shared" si="54"/>
        <v>51</v>
      </c>
      <c r="E145" s="41">
        <f t="shared" si="55"/>
        <v>0.143</v>
      </c>
      <c r="F145" s="39">
        <f t="shared" si="56"/>
        <v>2.546</v>
      </c>
      <c r="G145" s="51">
        <f t="shared" si="57"/>
        <v>639.31</v>
      </c>
      <c r="H145" s="52">
        <f t="shared" si="50"/>
        <v>273.20940170940173</v>
      </c>
      <c r="I145" s="39">
        <f t="shared" si="51"/>
        <v>130</v>
      </c>
      <c r="J145" s="51">
        <f t="shared" si="52"/>
        <v>807.3</v>
      </c>
      <c r="K145" s="39">
        <f t="shared" si="58"/>
        <v>345</v>
      </c>
      <c r="L145" s="42" t="str">
        <f t="shared" si="59"/>
        <v>Net Section will Fracture</v>
      </c>
      <c r="M145" s="1"/>
      <c r="N145" s="1"/>
      <c r="O145" s="1"/>
      <c r="P145" s="1"/>
      <c r="Q145" s="1"/>
      <c r="R145" s="1"/>
      <c r="S145" s="1"/>
    </row>
    <row r="146" spans="1:19" ht="15">
      <c r="A146" s="38">
        <v>6</v>
      </c>
      <c r="B146" s="39">
        <f t="shared" si="53"/>
        <v>36</v>
      </c>
      <c r="C146" s="40">
        <v>-45</v>
      </c>
      <c r="D146" s="39">
        <f t="shared" si="54"/>
        <v>51</v>
      </c>
      <c r="E146" s="41">
        <f t="shared" si="55"/>
        <v>0.167</v>
      </c>
      <c r="F146" s="39">
        <f t="shared" si="56"/>
        <v>2.434</v>
      </c>
      <c r="G146" s="51">
        <f t="shared" si="57"/>
        <v>610.46</v>
      </c>
      <c r="H146" s="52">
        <f t="shared" si="50"/>
        <v>264.95659722222223</v>
      </c>
      <c r="I146" s="39">
        <f t="shared" si="51"/>
        <v>128</v>
      </c>
      <c r="J146" s="51">
        <f t="shared" si="52"/>
        <v>794.88</v>
      </c>
      <c r="K146" s="39">
        <f t="shared" si="58"/>
        <v>345</v>
      </c>
      <c r="L146" s="42" t="str">
        <f t="shared" si="59"/>
        <v>Net Section will Fracture</v>
      </c>
      <c r="M146" s="1"/>
      <c r="N146" s="1"/>
      <c r="O146" s="1"/>
      <c r="P146" s="1"/>
      <c r="Q146" s="1"/>
      <c r="R146" s="1"/>
      <c r="S146" s="1"/>
    </row>
    <row r="147" spans="1:19" ht="15">
      <c r="A147" s="38">
        <v>7</v>
      </c>
      <c r="B147" s="39">
        <f t="shared" si="53"/>
        <v>37</v>
      </c>
      <c r="C147" s="40">
        <v>-45</v>
      </c>
      <c r="D147" s="39">
        <f t="shared" si="54"/>
        <v>51</v>
      </c>
      <c r="E147" s="41">
        <f t="shared" si="55"/>
        <v>0.189</v>
      </c>
      <c r="F147" s="39">
        <f t="shared" si="56"/>
        <v>2.337</v>
      </c>
      <c r="G147" s="51">
        <f t="shared" si="57"/>
        <v>588.64</v>
      </c>
      <c r="H147" s="52">
        <f t="shared" si="50"/>
        <v>259.54144620811286</v>
      </c>
      <c r="I147" s="39">
        <f t="shared" si="51"/>
        <v>126</v>
      </c>
      <c r="J147" s="51">
        <f t="shared" si="52"/>
        <v>782.46</v>
      </c>
      <c r="K147" s="39">
        <f t="shared" si="58"/>
        <v>345</v>
      </c>
      <c r="L147" s="42" t="str">
        <f t="shared" si="59"/>
        <v>Net Section will Fracture</v>
      </c>
      <c r="M147" s="1"/>
      <c r="N147" s="1"/>
      <c r="O147" s="1"/>
      <c r="P147" s="1"/>
      <c r="Q147" s="1"/>
      <c r="R147" s="1"/>
      <c r="S147" s="1"/>
    </row>
    <row r="148" spans="1:19" ht="15">
      <c r="A148" s="38">
        <v>8</v>
      </c>
      <c r="B148" s="39">
        <f t="shared" si="53"/>
        <v>38</v>
      </c>
      <c r="C148" s="40">
        <v>-45</v>
      </c>
      <c r="D148" s="39">
        <f t="shared" si="54"/>
        <v>51</v>
      </c>
      <c r="E148" s="41">
        <f t="shared" si="55"/>
        <v>0.211</v>
      </c>
      <c r="F148" s="39">
        <f t="shared" si="56"/>
        <v>2.246</v>
      </c>
      <c r="G148" s="51">
        <f t="shared" si="57"/>
        <v>572.93</v>
      </c>
      <c r="H148" s="52">
        <f t="shared" si="50"/>
        <v>256.68906810035844</v>
      </c>
      <c r="I148" s="39">
        <f t="shared" si="51"/>
        <v>124</v>
      </c>
      <c r="J148" s="51">
        <f t="shared" si="52"/>
        <v>770.04</v>
      </c>
      <c r="K148" s="39">
        <f t="shared" si="58"/>
        <v>345</v>
      </c>
      <c r="L148" s="42" t="str">
        <f t="shared" si="59"/>
        <v>Net Section will Fracture</v>
      </c>
      <c r="M148" s="1"/>
      <c r="N148" s="1"/>
      <c r="O148" s="1"/>
      <c r="P148" s="1"/>
      <c r="Q148" s="1"/>
      <c r="R148" s="1"/>
      <c r="S148" s="1"/>
    </row>
    <row r="149" spans="1:19" ht="15">
      <c r="A149" s="38">
        <v>9</v>
      </c>
      <c r="B149" s="39">
        <f t="shared" si="53"/>
        <v>39</v>
      </c>
      <c r="C149" s="40">
        <v>-45</v>
      </c>
      <c r="D149" s="39">
        <f t="shared" si="54"/>
        <v>51</v>
      </c>
      <c r="E149" s="41">
        <f t="shared" si="55"/>
        <v>0.231</v>
      </c>
      <c r="F149" s="39">
        <f t="shared" si="56"/>
        <v>2.167</v>
      </c>
      <c r="G149" s="51">
        <f t="shared" si="57"/>
        <v>559.85</v>
      </c>
      <c r="H149" s="52">
        <f t="shared" si="50"/>
        <v>254.9408014571949</v>
      </c>
      <c r="I149" s="39">
        <f t="shared" si="51"/>
        <v>122</v>
      </c>
      <c r="J149" s="51">
        <f t="shared" si="52"/>
        <v>757.62</v>
      </c>
      <c r="K149" s="39">
        <f t="shared" si="58"/>
        <v>345</v>
      </c>
      <c r="L149" s="42" t="str">
        <f t="shared" si="59"/>
        <v>Net Section will Fracture</v>
      </c>
      <c r="M149" s="1"/>
      <c r="N149" s="1"/>
      <c r="O149" s="1"/>
      <c r="P149" s="1"/>
      <c r="Q149" s="1"/>
      <c r="R149" s="1"/>
      <c r="S149" s="1"/>
    </row>
    <row r="150" spans="1:19" ht="15">
      <c r="A150" s="43">
        <v>10</v>
      </c>
      <c r="B150" s="44">
        <f t="shared" si="53"/>
        <v>40</v>
      </c>
      <c r="C150" s="45">
        <v>-45</v>
      </c>
      <c r="D150" s="44">
        <f t="shared" si="54"/>
        <v>51</v>
      </c>
      <c r="E150" s="46">
        <f t="shared" si="55"/>
        <v>0.25</v>
      </c>
      <c r="F150" s="44">
        <f t="shared" si="56"/>
        <v>2.096</v>
      </c>
      <c r="G150" s="53">
        <f t="shared" si="57"/>
        <v>549.12</v>
      </c>
      <c r="H150" s="54">
        <f t="shared" si="50"/>
        <v>254.22222222222223</v>
      </c>
      <c r="I150" s="44">
        <f t="shared" si="51"/>
        <v>120</v>
      </c>
      <c r="J150" s="53">
        <f t="shared" si="52"/>
        <v>745.2</v>
      </c>
      <c r="K150" s="44">
        <f t="shared" si="58"/>
        <v>345</v>
      </c>
      <c r="L150" s="47" t="str">
        <f t="shared" si="59"/>
        <v>Net Section will Fracture</v>
      </c>
      <c r="M150" s="1"/>
      <c r="N150" s="1"/>
      <c r="O150" s="1"/>
      <c r="P150" s="1"/>
      <c r="Q150" s="1"/>
      <c r="R150" s="1"/>
      <c r="S150" s="1"/>
    </row>
    <row r="151" spans="1:19" ht="15">
      <c r="A151" s="1"/>
      <c r="B151" s="1"/>
      <c r="C151" s="1"/>
      <c r="D151" s="1"/>
      <c r="E151" s="1"/>
      <c r="F151" s="1"/>
      <c r="G151" s="57"/>
      <c r="H151" s="57"/>
      <c r="I151" s="1"/>
      <c r="J151" s="57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>
      <c r="A152" s="1"/>
      <c r="B152" s="1"/>
      <c r="C152" s="1"/>
      <c r="D152" s="1"/>
      <c r="E152" s="1"/>
      <c r="F152" s="1"/>
      <c r="G152" s="57"/>
      <c r="H152" s="57"/>
      <c r="I152" s="1"/>
      <c r="J152" s="57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>
      <c r="A153" s="1"/>
      <c r="B153" s="1"/>
      <c r="C153" s="1"/>
      <c r="D153" s="1"/>
      <c r="E153" s="1"/>
      <c r="F153" s="1"/>
      <c r="G153" s="57"/>
      <c r="H153" s="57"/>
      <c r="I153" s="1"/>
      <c r="J153" s="57"/>
      <c r="K153" s="1"/>
      <c r="L153" s="1"/>
      <c r="M153" s="1"/>
      <c r="N153" s="1"/>
      <c r="O153" s="1"/>
      <c r="P153" s="1"/>
      <c r="Q153" s="1"/>
      <c r="R153" s="1"/>
      <c r="S153" s="1"/>
    </row>
  </sheetData>
  <sheetProtection/>
  <mergeCells count="6">
    <mergeCell ref="G64:H64"/>
    <mergeCell ref="G46:H46"/>
    <mergeCell ref="G136:H136"/>
    <mergeCell ref="G118:H118"/>
    <mergeCell ref="G100:H100"/>
    <mergeCell ref="G82:H82"/>
  </mergeCells>
  <conditionalFormatting sqref="A48:A60">
    <cfRule type="expression" priority="30" dxfId="0" stopIfTrue="1">
      <formula>$H48&lt;$K48</formula>
    </cfRule>
  </conditionalFormatting>
  <conditionalFormatting sqref="G48">
    <cfRule type="expression" priority="29" dxfId="0" stopIfTrue="1">
      <formula>$H48&lt;$K48</formula>
    </cfRule>
  </conditionalFormatting>
  <conditionalFormatting sqref="G49:G60">
    <cfRule type="expression" priority="28" dxfId="0" stopIfTrue="1">
      <formula>$H49&lt;$K49</formula>
    </cfRule>
  </conditionalFormatting>
  <conditionalFormatting sqref="G49:G60">
    <cfRule type="expression" priority="27" dxfId="0" stopIfTrue="1">
      <formula>$H49&lt;$K49</formula>
    </cfRule>
  </conditionalFormatting>
  <conditionalFormatting sqref="G49:G60">
    <cfRule type="expression" priority="26" dxfId="0" stopIfTrue="1">
      <formula>$H49&lt;$K49</formula>
    </cfRule>
  </conditionalFormatting>
  <conditionalFormatting sqref="A66:A78">
    <cfRule type="expression" priority="25" dxfId="0" stopIfTrue="1">
      <formula>$H66&lt;$K66</formula>
    </cfRule>
  </conditionalFormatting>
  <conditionalFormatting sqref="G66">
    <cfRule type="expression" priority="24" dxfId="0" stopIfTrue="1">
      <formula>$H66&lt;$K66</formula>
    </cfRule>
  </conditionalFormatting>
  <conditionalFormatting sqref="G67:G78">
    <cfRule type="expression" priority="23" dxfId="0" stopIfTrue="1">
      <formula>$H67&lt;$K67</formula>
    </cfRule>
  </conditionalFormatting>
  <conditionalFormatting sqref="G67:G78">
    <cfRule type="expression" priority="22" dxfId="0" stopIfTrue="1">
      <formula>$H67&lt;$K67</formula>
    </cfRule>
  </conditionalFormatting>
  <conditionalFormatting sqref="G67:G78">
    <cfRule type="expression" priority="21" dxfId="0" stopIfTrue="1">
      <formula>$H67&lt;$K67</formula>
    </cfRule>
  </conditionalFormatting>
  <conditionalFormatting sqref="A84:A96">
    <cfRule type="expression" priority="20" dxfId="0" stopIfTrue="1">
      <formula>$H84&lt;$K84</formula>
    </cfRule>
  </conditionalFormatting>
  <conditionalFormatting sqref="G84">
    <cfRule type="expression" priority="19" dxfId="0" stopIfTrue="1">
      <formula>$H84&lt;$K84</formula>
    </cfRule>
  </conditionalFormatting>
  <conditionalFormatting sqref="G85:G96">
    <cfRule type="expression" priority="18" dxfId="0" stopIfTrue="1">
      <formula>$H85&lt;$K85</formula>
    </cfRule>
  </conditionalFormatting>
  <conditionalFormatting sqref="G85:G96">
    <cfRule type="expression" priority="17" dxfId="0" stopIfTrue="1">
      <formula>$H85&lt;$K85</formula>
    </cfRule>
  </conditionalFormatting>
  <conditionalFormatting sqref="G85:G96">
    <cfRule type="expression" priority="16" dxfId="0" stopIfTrue="1">
      <formula>$H85&lt;$K85</formula>
    </cfRule>
  </conditionalFormatting>
  <conditionalFormatting sqref="A102:A114">
    <cfRule type="expression" priority="15" dxfId="0" stopIfTrue="1">
      <formula>$H102&lt;$K102</formula>
    </cfRule>
  </conditionalFormatting>
  <conditionalFormatting sqref="G102">
    <cfRule type="expression" priority="14" dxfId="0" stopIfTrue="1">
      <formula>$H102&lt;$K102</formula>
    </cfRule>
  </conditionalFormatting>
  <conditionalFormatting sqref="G103:G114">
    <cfRule type="expression" priority="13" dxfId="0" stopIfTrue="1">
      <formula>$H103&lt;$K103</formula>
    </cfRule>
  </conditionalFormatting>
  <conditionalFormatting sqref="G103:G114">
    <cfRule type="expression" priority="12" dxfId="0" stopIfTrue="1">
      <formula>$H103&lt;$K103</formula>
    </cfRule>
  </conditionalFormatting>
  <conditionalFormatting sqref="G103:G114">
    <cfRule type="expression" priority="11" dxfId="0" stopIfTrue="1">
      <formula>$H103&lt;$K103</formula>
    </cfRule>
  </conditionalFormatting>
  <conditionalFormatting sqref="A120:A132">
    <cfRule type="expression" priority="10" dxfId="0" stopIfTrue="1">
      <formula>$H120&lt;$K120</formula>
    </cfRule>
  </conditionalFormatting>
  <conditionalFormatting sqref="G120">
    <cfRule type="expression" priority="9" dxfId="0" stopIfTrue="1">
      <formula>$H120&lt;$K120</formula>
    </cfRule>
  </conditionalFormatting>
  <conditionalFormatting sqref="G121:G132">
    <cfRule type="expression" priority="8" dxfId="0" stopIfTrue="1">
      <formula>$H121&lt;$K121</formula>
    </cfRule>
  </conditionalFormatting>
  <conditionalFormatting sqref="G121:G132">
    <cfRule type="expression" priority="7" dxfId="0" stopIfTrue="1">
      <formula>$H121&lt;$K121</formula>
    </cfRule>
  </conditionalFormatting>
  <conditionalFormatting sqref="G121:G132">
    <cfRule type="expression" priority="6" dxfId="0" stopIfTrue="1">
      <formula>$H121&lt;$K121</formula>
    </cfRule>
  </conditionalFormatting>
  <conditionalFormatting sqref="A138:A150">
    <cfRule type="expression" priority="5" dxfId="0" stopIfTrue="1">
      <formula>$H138&lt;$K138</formula>
    </cfRule>
  </conditionalFormatting>
  <conditionalFormatting sqref="G138">
    <cfRule type="expression" priority="4" dxfId="0" stopIfTrue="1">
      <formula>$H138&lt;$K138</formula>
    </cfRule>
  </conditionalFormatting>
  <conditionalFormatting sqref="G139:G150">
    <cfRule type="expression" priority="3" dxfId="0" stopIfTrue="1">
      <formula>$H139&lt;$K139</formula>
    </cfRule>
  </conditionalFormatting>
  <conditionalFormatting sqref="G139:G150">
    <cfRule type="expression" priority="2" dxfId="0" stopIfTrue="1">
      <formula>$H139&lt;$K139</formula>
    </cfRule>
  </conditionalFormatting>
  <conditionalFormatting sqref="G139:G150">
    <cfRule type="expression" priority="1" dxfId="0" stopIfTrue="1">
      <formula>$H139&lt;$K139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3"/>
  <sheetViews>
    <sheetView zoomScale="80" zoomScaleNormal="80" workbookViewId="0" topLeftCell="A1">
      <selection activeCell="L17" sqref="L17"/>
    </sheetView>
  </sheetViews>
  <sheetFormatPr defaultColWidth="9.140625" defaultRowHeight="15"/>
  <cols>
    <col min="1" max="1" width="12.28125" style="69" customWidth="1"/>
    <col min="2" max="2" width="13.8515625" style="69" customWidth="1"/>
    <col min="3" max="3" width="9.8515625" style="69" customWidth="1"/>
    <col min="4" max="4" width="12.7109375" style="69" customWidth="1"/>
    <col min="5" max="5" width="15.7109375" style="69" customWidth="1"/>
    <col min="6" max="6" width="12.00390625" style="69" customWidth="1"/>
    <col min="7" max="7" width="10.00390625" style="70" customWidth="1"/>
    <col min="8" max="8" width="9.7109375" style="70" bestFit="1" customWidth="1"/>
    <col min="9" max="9" width="10.00390625" style="69" customWidth="1"/>
    <col min="10" max="10" width="9.140625" style="70" customWidth="1"/>
    <col min="11" max="11" width="9.140625" style="69" customWidth="1"/>
    <col min="12" max="12" width="36.7109375" style="69" customWidth="1"/>
    <col min="13" max="21" width="9.140625" style="69" customWidth="1"/>
    <col min="22" max="22" width="5.421875" style="69" customWidth="1"/>
    <col min="23" max="16384" width="9.140625" style="69" customWidth="1"/>
  </cols>
  <sheetData>
    <row r="2" spans="1:12" ht="16.5">
      <c r="A2" s="68" t="s">
        <v>44</v>
      </c>
      <c r="J2" s="131" t="s">
        <v>70</v>
      </c>
      <c r="K2" s="3"/>
      <c r="L2" s="3"/>
    </row>
    <row r="3" ht="15">
      <c r="B3" s="48" t="s">
        <v>61</v>
      </c>
    </row>
    <row r="4" spans="2:8" ht="15">
      <c r="B4" s="71" t="s">
        <v>29</v>
      </c>
      <c r="C4" s="71"/>
      <c r="D4" s="71"/>
      <c r="E4" s="71" t="s">
        <v>0</v>
      </c>
      <c r="F4" s="72">
        <v>20</v>
      </c>
      <c r="G4" s="73" t="s">
        <v>4</v>
      </c>
      <c r="H4" s="74" t="str">
        <f>IF(F7&gt;F4/4," &gt; Dh/4  ; Hence OK"," &lt; Dh /4  ; NOT OK")</f>
        <v> &gt; Dh/4  ; Hence OK</v>
      </c>
    </row>
    <row r="5" spans="2:8" ht="15">
      <c r="B5" s="71" t="s">
        <v>31</v>
      </c>
      <c r="C5" s="71"/>
      <c r="D5" s="71"/>
      <c r="E5" s="71" t="s">
        <v>0</v>
      </c>
      <c r="F5" s="72">
        <v>200</v>
      </c>
      <c r="G5" s="73" t="s">
        <v>4</v>
      </c>
      <c r="H5" s="73"/>
    </row>
    <row r="6" spans="2:8" ht="15">
      <c r="B6" s="71" t="s">
        <v>28</v>
      </c>
      <c r="C6" s="71"/>
      <c r="D6" s="71"/>
      <c r="E6" s="71" t="s">
        <v>0</v>
      </c>
      <c r="F6" s="72">
        <v>100</v>
      </c>
      <c r="G6" s="73" t="s">
        <v>4</v>
      </c>
      <c r="H6" s="73"/>
    </row>
    <row r="7" spans="2:8" ht="18.75">
      <c r="B7" s="71" t="s">
        <v>12</v>
      </c>
      <c r="C7" s="71"/>
      <c r="D7" s="71"/>
      <c r="E7" s="71" t="s">
        <v>0</v>
      </c>
      <c r="F7" s="72">
        <v>60</v>
      </c>
      <c r="G7" s="73" t="s">
        <v>4</v>
      </c>
      <c r="H7" s="73"/>
    </row>
    <row r="8" spans="2:8" ht="18.75">
      <c r="B8" s="71" t="s">
        <v>32</v>
      </c>
      <c r="C8" s="71"/>
      <c r="D8" s="71"/>
      <c r="E8" s="71" t="s">
        <v>0</v>
      </c>
      <c r="F8" s="72">
        <v>57</v>
      </c>
      <c r="G8" s="73" t="s">
        <v>4</v>
      </c>
      <c r="H8" s="73"/>
    </row>
    <row r="9" spans="2:8" ht="15">
      <c r="B9" s="71" t="s">
        <v>30</v>
      </c>
      <c r="C9" s="71"/>
      <c r="D9" s="71"/>
      <c r="E9" s="71"/>
      <c r="F9" s="72">
        <v>100</v>
      </c>
      <c r="G9" s="73" t="s">
        <v>4</v>
      </c>
      <c r="H9" s="74" t="str">
        <f>IF(F9&gt;1.5*F7," &gt; 1.5xDh  ; Hence OK"," &lt; 1.5xDh  ; NOT OK")</f>
        <v> &gt; 1.5xDh  ; Hence OK</v>
      </c>
    </row>
    <row r="10" spans="2:8" ht="16.5">
      <c r="B10" s="71" t="s">
        <v>17</v>
      </c>
      <c r="C10" s="71"/>
      <c r="D10" s="71"/>
      <c r="E10" s="71" t="s">
        <v>0</v>
      </c>
      <c r="F10" s="75" t="str">
        <f>F4&amp;" x "&amp;F5&amp;" ="</f>
        <v>20 x 200 =</v>
      </c>
      <c r="G10" s="73">
        <f>F4*F5</f>
        <v>4000</v>
      </c>
      <c r="H10" s="73" t="s">
        <v>18</v>
      </c>
    </row>
    <row r="11" spans="2:8" ht="15">
      <c r="B11" s="71" t="s">
        <v>7</v>
      </c>
      <c r="C11" s="71"/>
      <c r="D11" s="71"/>
      <c r="E11" s="71" t="s">
        <v>0</v>
      </c>
      <c r="F11" s="72">
        <v>4.5</v>
      </c>
      <c r="G11" s="73" t="s">
        <v>4</v>
      </c>
      <c r="H11" s="73" t="s">
        <v>8</v>
      </c>
    </row>
    <row r="12" spans="2:9" ht="18.75">
      <c r="B12" s="71" t="s">
        <v>13</v>
      </c>
      <c r="C12" s="71"/>
      <c r="D12" s="71"/>
      <c r="E12" s="71"/>
      <c r="F12" s="75"/>
      <c r="G12" s="73"/>
      <c r="H12" s="73">
        <f>($F$7/2+$F$11)</f>
        <v>34.5</v>
      </c>
      <c r="I12" s="71" t="s">
        <v>4</v>
      </c>
    </row>
    <row r="13" spans="2:8" ht="16.5">
      <c r="B13" s="71" t="s">
        <v>1</v>
      </c>
      <c r="C13" s="71"/>
      <c r="D13" s="71"/>
      <c r="E13" s="71" t="s">
        <v>0</v>
      </c>
      <c r="F13" s="72">
        <v>15</v>
      </c>
      <c r="G13" s="73" t="s">
        <v>6</v>
      </c>
      <c r="H13" s="73"/>
    </row>
    <row r="14" spans="2:9" ht="18.75">
      <c r="B14" s="71" t="s">
        <v>5</v>
      </c>
      <c r="C14" s="71"/>
      <c r="D14" s="71"/>
      <c r="E14" s="71" t="s">
        <v>0</v>
      </c>
      <c r="F14" s="71" t="s">
        <v>69</v>
      </c>
      <c r="G14" s="73" t="s">
        <v>2</v>
      </c>
      <c r="H14" s="73"/>
      <c r="I14" s="67" t="s">
        <v>68</v>
      </c>
    </row>
    <row r="15" spans="5:6" ht="15">
      <c r="E15" s="71"/>
      <c r="F15" s="69" t="s">
        <v>3</v>
      </c>
    </row>
    <row r="16" spans="4:7" ht="18.75">
      <c r="D16" s="76" t="s">
        <v>45</v>
      </c>
      <c r="E16" s="71" t="s">
        <v>0</v>
      </c>
      <c r="F16" s="71">
        <f>40+0.2*F13</f>
        <v>43</v>
      </c>
      <c r="G16" s="73" t="s">
        <v>6</v>
      </c>
    </row>
    <row r="17" spans="4:7" ht="15">
      <c r="D17" s="76"/>
      <c r="E17" s="71"/>
      <c r="F17" s="71"/>
      <c r="G17" s="73"/>
    </row>
    <row r="18" spans="2:7" ht="15">
      <c r="B18" s="77" t="s">
        <v>27</v>
      </c>
      <c r="D18" s="76"/>
      <c r="E18" s="71"/>
      <c r="F18" s="71"/>
      <c r="G18" s="73"/>
    </row>
    <row r="19" spans="2:8" ht="18.75">
      <c r="B19" s="71" t="s">
        <v>46</v>
      </c>
      <c r="C19" s="71" t="s">
        <v>0</v>
      </c>
      <c r="D19" s="76" t="str">
        <f>F6&amp;" - "&amp;F7&amp;"/ 2 "</f>
        <v>100 - 60/ 2 </v>
      </c>
      <c r="E19" s="71" t="s">
        <v>0</v>
      </c>
      <c r="F19" s="71">
        <f>F6-F7/2</f>
        <v>70</v>
      </c>
      <c r="G19" s="73" t="s">
        <v>4</v>
      </c>
      <c r="H19" s="74" t="str">
        <f>IF(F19&gt;F7/2," &gt; Dh/2  ; Hence OK"," &lt; Dh /2  ; NOT OK")</f>
        <v> &gt; Dh/2  ; Hence OK</v>
      </c>
    </row>
    <row r="20" spans="2:8" ht="18.75">
      <c r="B20" s="71" t="s">
        <v>46</v>
      </c>
      <c r="C20" s="71" t="s">
        <v>0</v>
      </c>
      <c r="D20" s="76" t="str">
        <f>F6&amp;" - "&amp;F7&amp;"/ 2 "</f>
        <v>100 - 60/ 2 </v>
      </c>
      <c r="E20" s="71" t="s">
        <v>0</v>
      </c>
      <c r="F20" s="71">
        <f>F6-F7/2</f>
        <v>70</v>
      </c>
      <c r="G20" s="73" t="s">
        <v>4</v>
      </c>
      <c r="H20" s="74" t="str">
        <f>IF(F20&lt;5*F4," &lt; 5t  ; Hence OK"," &gt; 5t  ; NOT OK")</f>
        <v> &lt; 5t  ; Hence OK</v>
      </c>
    </row>
    <row r="21" spans="2:8" ht="18.75">
      <c r="B21" s="71" t="s">
        <v>46</v>
      </c>
      <c r="C21" s="71" t="s">
        <v>0</v>
      </c>
      <c r="D21" s="76" t="str">
        <f>F6&amp;" - "&amp;F7&amp;"/ 2 "</f>
        <v>100 - 60/ 2 </v>
      </c>
      <c r="E21" s="71" t="s">
        <v>0</v>
      </c>
      <c r="F21" s="71">
        <f>F6-F7/2</f>
        <v>70</v>
      </c>
      <c r="G21" s="73" t="s">
        <v>4</v>
      </c>
      <c r="H21" s="74" t="str">
        <f>IF(F20&gt;2*F4," &gt; 2t  ; Hence OK"," &lt; 2t  ; NOT OK")</f>
        <v> &gt; 2t  ; Hence OK</v>
      </c>
    </row>
    <row r="22" spans="2:7" ht="15">
      <c r="B22" s="71"/>
      <c r="C22" s="71"/>
      <c r="D22" s="76"/>
      <c r="E22" s="71"/>
      <c r="F22" s="71"/>
      <c r="G22" s="73"/>
    </row>
    <row r="23" spans="2:7" ht="15">
      <c r="B23" s="78" t="s">
        <v>24</v>
      </c>
      <c r="C23" s="79"/>
      <c r="D23" s="76"/>
      <c r="E23" s="71"/>
      <c r="F23" s="71"/>
      <c r="G23" s="73"/>
    </row>
    <row r="24" spans="2:6" ht="15">
      <c r="B24" s="71" t="s">
        <v>25</v>
      </c>
      <c r="C24" s="71"/>
      <c r="D24" s="71" t="s">
        <v>0</v>
      </c>
      <c r="E24" s="72">
        <v>345</v>
      </c>
      <c r="F24" s="71" t="s">
        <v>26</v>
      </c>
    </row>
    <row r="25" spans="2:8" ht="15">
      <c r="B25" s="71" t="s">
        <v>33</v>
      </c>
      <c r="C25" s="71"/>
      <c r="D25" s="71" t="s">
        <v>0</v>
      </c>
      <c r="E25" s="80" t="str">
        <f>F5&amp;" - "&amp;F7&amp;"- 2 x"&amp;F11&amp;" ="</f>
        <v>200 - 60- 2 x4.5 =</v>
      </c>
      <c r="G25" s="73">
        <f>$F$5-$F$7-2*$F$11</f>
        <v>131</v>
      </c>
      <c r="H25" s="73" t="s">
        <v>4</v>
      </c>
    </row>
    <row r="26" spans="2:9" ht="15">
      <c r="B26" s="71" t="s">
        <v>34</v>
      </c>
      <c r="C26" s="71"/>
      <c r="D26" s="71" t="s">
        <v>0</v>
      </c>
      <c r="E26" s="71" t="str">
        <f>0.9&amp;" x "&amp;E24&amp;" x "&amp;G25&amp;" x "&amp;F4&amp;"/1000 ="</f>
        <v>0.9 x 345 x 131 x 20/1000 =</v>
      </c>
      <c r="F26" s="71"/>
      <c r="H26" s="81">
        <f>0.9*$E$24*$G$25*$F$4/1000</f>
        <v>813.51</v>
      </c>
      <c r="I26" s="71" t="s">
        <v>23</v>
      </c>
    </row>
    <row r="27" spans="2:7" ht="15">
      <c r="B27" s="71"/>
      <c r="C27" s="71"/>
      <c r="D27" s="76"/>
      <c r="E27" s="71"/>
      <c r="F27" s="71"/>
      <c r="G27" s="73"/>
    </row>
    <row r="28" spans="2:7" ht="15">
      <c r="B28" s="78" t="s">
        <v>36</v>
      </c>
      <c r="C28" s="82"/>
      <c r="D28" s="76"/>
      <c r="E28" s="71"/>
      <c r="F28" s="71"/>
      <c r="G28" s="73"/>
    </row>
    <row r="29" spans="2:4" ht="18.75">
      <c r="B29" s="76" t="s">
        <v>45</v>
      </c>
      <c r="C29" s="83" t="s">
        <v>0</v>
      </c>
      <c r="D29" s="7" t="s">
        <v>20</v>
      </c>
    </row>
    <row r="30" spans="1:19" ht="18.75">
      <c r="A30" s="71"/>
      <c r="B30" s="76" t="s">
        <v>47</v>
      </c>
      <c r="C30" s="83" t="s">
        <v>0</v>
      </c>
      <c r="D30" s="71" t="s">
        <v>11</v>
      </c>
      <c r="E30" s="71"/>
      <c r="F30" s="71"/>
      <c r="G30" s="73"/>
      <c r="H30" s="84"/>
      <c r="I30" s="71"/>
      <c r="J30" s="73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8.75">
      <c r="A31" s="71"/>
      <c r="B31" s="71" t="s">
        <v>9</v>
      </c>
      <c r="C31" s="83" t="s">
        <v>10</v>
      </c>
      <c r="D31" s="71" t="s">
        <v>48</v>
      </c>
      <c r="E31" s="71"/>
      <c r="F31" s="71"/>
      <c r="G31" s="73"/>
      <c r="H31" s="73"/>
      <c r="I31" s="71"/>
      <c r="J31" s="73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5">
      <c r="A32" s="71"/>
      <c r="B32" s="71"/>
      <c r="C32" s="83" t="s">
        <v>10</v>
      </c>
      <c r="D32" s="71" t="str">
        <f>F11&amp;" / ("&amp;$F$7&amp;"/ 2 + "&amp;F11&amp;")"</f>
        <v>4.5 / (60/ 2 + 4.5)</v>
      </c>
      <c r="E32" s="71"/>
      <c r="F32" s="76" t="s">
        <v>0</v>
      </c>
      <c r="G32" s="85">
        <f>ROUND(F11/($F$7/2+F11),3)</f>
        <v>0.13</v>
      </c>
      <c r="H32" s="73"/>
      <c r="I32" s="71"/>
      <c r="J32" s="73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15">
      <c r="A33" s="71"/>
      <c r="B33" s="71"/>
      <c r="C33" s="71"/>
      <c r="D33" s="71"/>
      <c r="E33" s="71"/>
      <c r="F33" s="71"/>
      <c r="G33" s="73"/>
      <c r="H33" s="73"/>
      <c r="I33" s="71"/>
      <c r="J33" s="73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18.75">
      <c r="A34" s="71"/>
      <c r="B34" s="76" t="s">
        <v>47</v>
      </c>
      <c r="C34" s="83" t="s">
        <v>0</v>
      </c>
      <c r="D34" s="71" t="str">
        <f>"0.5 x (3 -"&amp;G32&amp;") [ 1 + 1.243 x (1 -"&amp;G32&amp;")^3 ]"</f>
        <v>0.5 x (3 -0.13) [ 1 + 1.243 x (1 -0.13)^3 ]</v>
      </c>
      <c r="E34" s="71"/>
      <c r="F34" s="71"/>
      <c r="G34" s="73"/>
      <c r="H34" s="73"/>
      <c r="I34" s="71"/>
      <c r="J34" s="73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5">
      <c r="A35" s="71"/>
      <c r="B35" s="71"/>
      <c r="C35" s="83" t="s">
        <v>0</v>
      </c>
      <c r="D35" s="71">
        <f>ROUND(0.5*(3-G32)*(1+1.243*(1-G32)^3),3)</f>
        <v>2.61</v>
      </c>
      <c r="E35" s="71"/>
      <c r="F35" s="71"/>
      <c r="G35" s="73"/>
      <c r="H35" s="73"/>
      <c r="I35" s="71"/>
      <c r="J35" s="73"/>
      <c r="K35" s="71"/>
      <c r="L35" s="71"/>
      <c r="M35" s="71"/>
      <c r="N35" s="71"/>
      <c r="O35" s="71"/>
      <c r="P35" s="71"/>
      <c r="Q35" s="71"/>
      <c r="R35" s="71"/>
      <c r="S35" s="71"/>
    </row>
    <row r="36" spans="1:19" ht="15">
      <c r="A36" s="71"/>
      <c r="B36" s="71"/>
      <c r="C36" s="83"/>
      <c r="D36" s="71"/>
      <c r="E36" s="71"/>
      <c r="F36" s="71"/>
      <c r="G36" s="73"/>
      <c r="H36" s="73"/>
      <c r="I36" s="71"/>
      <c r="J36" s="73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15">
      <c r="A37" s="71"/>
      <c r="B37" s="86" t="s">
        <v>14</v>
      </c>
      <c r="C37" s="83" t="s">
        <v>0</v>
      </c>
      <c r="D37" s="87" t="s">
        <v>15</v>
      </c>
      <c r="E37" s="88" t="s">
        <v>0</v>
      </c>
      <c r="F37" s="71" t="str">
        <f>"P / "&amp;G10&amp;" ="</f>
        <v>P / 4000 =</v>
      </c>
      <c r="G37" s="89">
        <f>ROUND(1/$G$10,6)</f>
        <v>0.00025</v>
      </c>
      <c r="H37" s="73" t="s">
        <v>19</v>
      </c>
      <c r="I37" s="71"/>
      <c r="J37" s="73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5">
      <c r="A38" s="71"/>
      <c r="B38" s="71"/>
      <c r="C38" s="71"/>
      <c r="D38" s="71" t="s">
        <v>16</v>
      </c>
      <c r="E38" s="71"/>
      <c r="F38" s="71"/>
      <c r="G38" s="73"/>
      <c r="H38" s="73"/>
      <c r="I38" s="71"/>
      <c r="J38" s="73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15">
      <c r="A39" s="71"/>
      <c r="B39" s="71"/>
      <c r="C39" s="71"/>
      <c r="D39" s="71"/>
      <c r="E39" s="71"/>
      <c r="F39" s="71"/>
      <c r="G39" s="73"/>
      <c r="H39" s="73"/>
      <c r="I39" s="71"/>
      <c r="J39" s="73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8">
      <c r="A40" s="71"/>
      <c r="B40" s="90" t="s">
        <v>43</v>
      </c>
      <c r="C40" s="91" t="s">
        <v>0</v>
      </c>
      <c r="D40" s="92" t="s">
        <v>21</v>
      </c>
      <c r="E40" s="92"/>
      <c r="F40" s="71"/>
      <c r="G40" s="73"/>
      <c r="H40" s="73"/>
      <c r="I40" s="71"/>
      <c r="J40" s="73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5">
      <c r="A41" s="71"/>
      <c r="B41" s="71">
        <f>F16</f>
        <v>43</v>
      </c>
      <c r="C41" s="83" t="s">
        <v>0</v>
      </c>
      <c r="D41" s="71" t="str">
        <f>D35&amp;" x "&amp;G37&amp;"P x sqrt("&amp;ROUND(PI(),4)&amp;" x "&amp;F11/1000&amp;")"</f>
        <v>2.61 x 0.00025P x sqrt(3.1416 x 0.0045)</v>
      </c>
      <c r="E41" s="71"/>
      <c r="F41" s="71"/>
      <c r="G41" s="73"/>
      <c r="H41" s="73"/>
      <c r="I41" s="71"/>
      <c r="J41" s="73"/>
      <c r="K41" s="71"/>
      <c r="L41" s="71" t="s">
        <v>54</v>
      </c>
      <c r="M41" s="71"/>
      <c r="N41" s="71"/>
      <c r="O41" s="71"/>
      <c r="P41" s="71"/>
      <c r="Q41" s="71"/>
      <c r="R41" s="71"/>
      <c r="S41" s="71"/>
    </row>
    <row r="42" spans="1:19" ht="15">
      <c r="A42" s="71"/>
      <c r="B42" s="71"/>
      <c r="C42" s="71"/>
      <c r="D42" s="71"/>
      <c r="E42" s="71"/>
      <c r="F42" s="71"/>
      <c r="G42" s="73"/>
      <c r="H42" s="73"/>
      <c r="I42" s="71"/>
      <c r="J42" s="73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15">
      <c r="A43" s="71"/>
      <c r="B43" s="71" t="s">
        <v>22</v>
      </c>
      <c r="C43" s="83" t="s">
        <v>0</v>
      </c>
      <c r="D43" s="81">
        <f>ROUND($B$41/($D$35*$G$37*SQRT(PI()*$F$11/1000))/1000,2)</f>
        <v>554.25</v>
      </c>
      <c r="E43" s="71" t="s">
        <v>23</v>
      </c>
      <c r="F43" s="71"/>
      <c r="G43" s="73"/>
      <c r="H43" s="73"/>
      <c r="I43" s="71"/>
      <c r="J43" s="73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15">
      <c r="A44" s="71"/>
      <c r="B44" s="71"/>
      <c r="C44" s="71"/>
      <c r="D44" s="71"/>
      <c r="E44" s="71"/>
      <c r="F44" s="71"/>
      <c r="G44" s="73"/>
      <c r="H44" s="73"/>
      <c r="I44" s="71"/>
      <c r="J44" s="73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15">
      <c r="A45" s="71"/>
      <c r="B45" s="71"/>
      <c r="C45" s="71"/>
      <c r="D45" s="71"/>
      <c r="E45" s="71"/>
      <c r="F45" s="71"/>
      <c r="G45" s="73"/>
      <c r="H45" s="73"/>
      <c r="I45" s="71"/>
      <c r="J45" s="73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26.25">
      <c r="A46" s="93" t="s">
        <v>55</v>
      </c>
      <c r="B46" s="93"/>
      <c r="C46" s="93"/>
      <c r="D46" s="94"/>
      <c r="E46" s="93"/>
      <c r="F46" s="93"/>
      <c r="G46" s="129" t="s">
        <v>40</v>
      </c>
      <c r="H46" s="130"/>
      <c r="I46" s="93"/>
      <c r="J46" s="95" t="s">
        <v>41</v>
      </c>
      <c r="K46" s="93"/>
      <c r="L46" s="93"/>
      <c r="M46" s="93"/>
      <c r="N46" s="93"/>
      <c r="O46" s="93"/>
      <c r="P46" s="71"/>
      <c r="Q46" s="71"/>
      <c r="R46" s="71"/>
      <c r="S46" s="71"/>
    </row>
    <row r="47" spans="1:19" ht="58.5" customHeight="1">
      <c r="A47" s="96" t="s">
        <v>38</v>
      </c>
      <c r="B47" s="97" t="s">
        <v>65</v>
      </c>
      <c r="C47" s="96" t="s">
        <v>37</v>
      </c>
      <c r="D47" s="98" t="s">
        <v>66</v>
      </c>
      <c r="E47" s="99" t="s">
        <v>67</v>
      </c>
      <c r="F47" s="99" t="s">
        <v>53</v>
      </c>
      <c r="G47" s="100" t="s">
        <v>62</v>
      </c>
      <c r="H47" s="101" t="s">
        <v>50</v>
      </c>
      <c r="I47" s="96" t="s">
        <v>42</v>
      </c>
      <c r="J47" s="100" t="s">
        <v>63</v>
      </c>
      <c r="K47" s="102" t="s">
        <v>51</v>
      </c>
      <c r="L47" s="103"/>
      <c r="M47" s="93"/>
      <c r="N47" s="93"/>
      <c r="O47" s="93"/>
      <c r="P47" s="71"/>
      <c r="Q47" s="71"/>
      <c r="R47" s="71"/>
      <c r="S47" s="71"/>
    </row>
    <row r="48" spans="1:19" ht="15">
      <c r="A48" s="104">
        <v>1</v>
      </c>
      <c r="B48" s="105">
        <f aca="true" t="shared" si="0" ref="B48:B60">($F$7/2+$A48)</f>
        <v>31</v>
      </c>
      <c r="C48" s="106">
        <v>30</v>
      </c>
      <c r="D48" s="105">
        <f>40+0.2*C48</f>
        <v>46</v>
      </c>
      <c r="E48" s="107">
        <f aca="true" t="shared" si="1" ref="E48:E60">ROUND($A48/($F$7/2+$A48),3)</f>
        <v>0.032</v>
      </c>
      <c r="F48" s="105">
        <f aca="true" t="shared" si="2" ref="F48:F60">ROUND(0.5*(3-E48)*(1+1.243*(1-E48)^3),3)</f>
        <v>3.157</v>
      </c>
      <c r="G48" s="108">
        <f aca="true" t="shared" si="3" ref="G48:G60">ROUND($D48/($F48*$G$37*SQRT(PI()*$A48/1000))/1000,2)</f>
        <v>1039.84</v>
      </c>
      <c r="H48" s="109">
        <f aca="true" t="shared" si="4" ref="H48:H60">G48*1000/(I48*$F$4*0.9)</f>
        <v>418.6151368760064</v>
      </c>
      <c r="I48" s="105">
        <f aca="true" t="shared" si="5" ref="I48:I60">$F$5-$F$7-2*$A48</f>
        <v>138</v>
      </c>
      <c r="J48" s="108">
        <f aca="true" t="shared" si="6" ref="J48:J60">0.9*$E$24*$I48*$F$4/1000</f>
        <v>856.98</v>
      </c>
      <c r="K48" s="105">
        <f aca="true" t="shared" si="7" ref="K48:K60">J48*1000/(0.9*$I48*$F$4)</f>
        <v>345</v>
      </c>
      <c r="L48" s="110" t="str">
        <f aca="true" t="shared" si="8" ref="L48:L60">IF($H48&gt;$K48,"Net Section will Yeild before Fracture","Net Section will Fracture")</f>
        <v>Net Section will Yeild before Fracture</v>
      </c>
      <c r="M48" s="111"/>
      <c r="N48" s="111"/>
      <c r="O48" s="111"/>
      <c r="P48" s="71"/>
      <c r="Q48" s="71"/>
      <c r="R48" s="71"/>
      <c r="S48" s="71"/>
    </row>
    <row r="49" spans="1:19" ht="15">
      <c r="A49" s="112">
        <v>1.5</v>
      </c>
      <c r="B49" s="113">
        <f t="shared" si="0"/>
        <v>31.5</v>
      </c>
      <c r="C49" s="114">
        <v>30</v>
      </c>
      <c r="D49" s="105">
        <f aca="true" t="shared" si="9" ref="D49:D60">40+0.2*C49</f>
        <v>46</v>
      </c>
      <c r="E49" s="115">
        <f t="shared" si="1"/>
        <v>0.048</v>
      </c>
      <c r="F49" s="113">
        <f t="shared" si="2"/>
        <v>3.059</v>
      </c>
      <c r="G49" s="116">
        <f t="shared" si="3"/>
        <v>876.23</v>
      </c>
      <c r="H49" s="117">
        <f t="shared" si="4"/>
        <v>355.3244120032441</v>
      </c>
      <c r="I49" s="113">
        <f t="shared" si="5"/>
        <v>137</v>
      </c>
      <c r="J49" s="116">
        <f t="shared" si="6"/>
        <v>850.77</v>
      </c>
      <c r="K49" s="113">
        <f t="shared" si="7"/>
        <v>345</v>
      </c>
      <c r="L49" s="118" t="str">
        <f t="shared" si="8"/>
        <v>Net Section will Yeild before Fracture</v>
      </c>
      <c r="M49" s="111"/>
      <c r="N49" s="111"/>
      <c r="O49" s="111"/>
      <c r="P49" s="71"/>
      <c r="Q49" s="71"/>
      <c r="R49" s="71"/>
      <c r="S49" s="71"/>
    </row>
    <row r="50" spans="1:19" ht="15">
      <c r="A50" s="112">
        <v>2</v>
      </c>
      <c r="B50" s="113">
        <f t="shared" si="0"/>
        <v>32</v>
      </c>
      <c r="C50" s="114">
        <v>30</v>
      </c>
      <c r="D50" s="105">
        <f t="shared" si="9"/>
        <v>46</v>
      </c>
      <c r="E50" s="115">
        <f t="shared" si="1"/>
        <v>0.063</v>
      </c>
      <c r="F50" s="113">
        <f t="shared" si="2"/>
        <v>2.97</v>
      </c>
      <c r="G50" s="116">
        <f t="shared" si="3"/>
        <v>781.58</v>
      </c>
      <c r="H50" s="117">
        <f t="shared" si="4"/>
        <v>319.27287581699346</v>
      </c>
      <c r="I50" s="113">
        <f t="shared" si="5"/>
        <v>136</v>
      </c>
      <c r="J50" s="116">
        <f t="shared" si="6"/>
        <v>844.56</v>
      </c>
      <c r="K50" s="113">
        <f t="shared" si="7"/>
        <v>345</v>
      </c>
      <c r="L50" s="118" t="str">
        <f t="shared" si="8"/>
        <v>Net Section will Fracture</v>
      </c>
      <c r="M50" s="111"/>
      <c r="N50" s="111"/>
      <c r="O50" s="111"/>
      <c r="P50" s="71"/>
      <c r="Q50" s="71"/>
      <c r="R50" s="71"/>
      <c r="S50" s="71"/>
    </row>
    <row r="51" spans="1:19" ht="15">
      <c r="A51" s="112">
        <v>2.5</v>
      </c>
      <c r="B51" s="113">
        <f t="shared" si="0"/>
        <v>32.5</v>
      </c>
      <c r="C51" s="114">
        <v>30</v>
      </c>
      <c r="D51" s="105">
        <f t="shared" si="9"/>
        <v>46</v>
      </c>
      <c r="E51" s="115">
        <f t="shared" si="1"/>
        <v>0.077</v>
      </c>
      <c r="F51" s="113">
        <f t="shared" si="2"/>
        <v>2.89</v>
      </c>
      <c r="G51" s="116">
        <f t="shared" si="3"/>
        <v>718.41</v>
      </c>
      <c r="H51" s="117">
        <f t="shared" si="4"/>
        <v>295.641975308642</v>
      </c>
      <c r="I51" s="113">
        <f t="shared" si="5"/>
        <v>135</v>
      </c>
      <c r="J51" s="116">
        <f t="shared" si="6"/>
        <v>838.35</v>
      </c>
      <c r="K51" s="113">
        <f t="shared" si="7"/>
        <v>345</v>
      </c>
      <c r="L51" s="118" t="str">
        <f t="shared" si="8"/>
        <v>Net Section will Fracture</v>
      </c>
      <c r="M51" s="111"/>
      <c r="N51" s="111"/>
      <c r="O51" s="111"/>
      <c r="P51" s="71"/>
      <c r="Q51" s="71"/>
      <c r="R51" s="71"/>
      <c r="S51" s="71"/>
    </row>
    <row r="52" spans="1:19" ht="15">
      <c r="A52" s="112">
        <v>3</v>
      </c>
      <c r="B52" s="113">
        <f t="shared" si="0"/>
        <v>33</v>
      </c>
      <c r="C52" s="114">
        <v>30</v>
      </c>
      <c r="D52" s="105">
        <f t="shared" si="9"/>
        <v>46</v>
      </c>
      <c r="E52" s="115">
        <f t="shared" si="1"/>
        <v>0.091</v>
      </c>
      <c r="F52" s="113">
        <f t="shared" si="2"/>
        <v>2.812</v>
      </c>
      <c r="G52" s="116">
        <f t="shared" si="3"/>
        <v>674.01</v>
      </c>
      <c r="H52" s="117">
        <f t="shared" si="4"/>
        <v>279.44029850746267</v>
      </c>
      <c r="I52" s="113">
        <f t="shared" si="5"/>
        <v>134</v>
      </c>
      <c r="J52" s="116">
        <f t="shared" si="6"/>
        <v>832.14</v>
      </c>
      <c r="K52" s="113">
        <f t="shared" si="7"/>
        <v>345</v>
      </c>
      <c r="L52" s="118" t="str">
        <f t="shared" si="8"/>
        <v>Net Section will Fracture</v>
      </c>
      <c r="M52" s="111"/>
      <c r="N52" s="111"/>
      <c r="O52" s="111"/>
      <c r="P52" s="71"/>
      <c r="Q52" s="71"/>
      <c r="R52" s="71"/>
      <c r="S52" s="71"/>
    </row>
    <row r="53" spans="1:19" ht="15">
      <c r="A53" s="112">
        <v>3.5</v>
      </c>
      <c r="B53" s="113">
        <f t="shared" si="0"/>
        <v>33.5</v>
      </c>
      <c r="C53" s="114">
        <v>30</v>
      </c>
      <c r="D53" s="105">
        <f t="shared" si="9"/>
        <v>46</v>
      </c>
      <c r="E53" s="115">
        <f t="shared" si="1"/>
        <v>0.104</v>
      </c>
      <c r="F53" s="113">
        <f t="shared" si="2"/>
        <v>2.743</v>
      </c>
      <c r="G53" s="116">
        <f t="shared" si="3"/>
        <v>639.71</v>
      </c>
      <c r="H53" s="117">
        <f t="shared" si="4"/>
        <v>267.2138680033417</v>
      </c>
      <c r="I53" s="113">
        <f t="shared" si="5"/>
        <v>133</v>
      </c>
      <c r="J53" s="116">
        <f t="shared" si="6"/>
        <v>825.93</v>
      </c>
      <c r="K53" s="113">
        <f t="shared" si="7"/>
        <v>345</v>
      </c>
      <c r="L53" s="118" t="str">
        <f t="shared" si="8"/>
        <v>Net Section will Fracture</v>
      </c>
      <c r="M53" s="111"/>
      <c r="N53" s="111"/>
      <c r="O53" s="111"/>
      <c r="P53" s="71"/>
      <c r="Q53" s="71"/>
      <c r="R53" s="71"/>
      <c r="S53" s="71"/>
    </row>
    <row r="54" spans="1:19" ht="15">
      <c r="A54" s="112">
        <v>4</v>
      </c>
      <c r="B54" s="113">
        <f t="shared" si="0"/>
        <v>34</v>
      </c>
      <c r="C54" s="114">
        <v>30</v>
      </c>
      <c r="D54" s="105">
        <f t="shared" si="9"/>
        <v>46</v>
      </c>
      <c r="E54" s="115">
        <f t="shared" si="1"/>
        <v>0.118</v>
      </c>
      <c r="F54" s="113">
        <f t="shared" si="2"/>
        <v>2.67</v>
      </c>
      <c r="G54" s="116">
        <f t="shared" si="3"/>
        <v>614.75</v>
      </c>
      <c r="H54" s="117">
        <f t="shared" si="4"/>
        <v>258.733164983165</v>
      </c>
      <c r="I54" s="113">
        <f t="shared" si="5"/>
        <v>132</v>
      </c>
      <c r="J54" s="116">
        <f t="shared" si="6"/>
        <v>819.72</v>
      </c>
      <c r="K54" s="113">
        <f t="shared" si="7"/>
        <v>345</v>
      </c>
      <c r="L54" s="118" t="str">
        <f t="shared" si="8"/>
        <v>Net Section will Fracture</v>
      </c>
      <c r="M54" s="111"/>
      <c r="N54" s="111"/>
      <c r="O54" s="111"/>
      <c r="P54" s="71"/>
      <c r="Q54" s="71"/>
      <c r="R54" s="71"/>
      <c r="S54" s="71"/>
    </row>
    <row r="55" spans="1:19" ht="15">
      <c r="A55" s="112">
        <v>5</v>
      </c>
      <c r="B55" s="113">
        <f t="shared" si="0"/>
        <v>35</v>
      </c>
      <c r="C55" s="114">
        <v>30</v>
      </c>
      <c r="D55" s="105">
        <f t="shared" si="9"/>
        <v>46</v>
      </c>
      <c r="E55" s="115">
        <f t="shared" si="1"/>
        <v>0.143</v>
      </c>
      <c r="F55" s="113">
        <f t="shared" si="2"/>
        <v>2.546</v>
      </c>
      <c r="G55" s="116">
        <f t="shared" si="3"/>
        <v>576.63</v>
      </c>
      <c r="H55" s="117">
        <f t="shared" si="4"/>
        <v>246.42307692307693</v>
      </c>
      <c r="I55" s="113">
        <f t="shared" si="5"/>
        <v>130</v>
      </c>
      <c r="J55" s="116">
        <f t="shared" si="6"/>
        <v>807.3</v>
      </c>
      <c r="K55" s="113">
        <f t="shared" si="7"/>
        <v>345</v>
      </c>
      <c r="L55" s="118" t="str">
        <f t="shared" si="8"/>
        <v>Net Section will Fracture</v>
      </c>
      <c r="M55" s="111"/>
      <c r="N55" s="111"/>
      <c r="O55" s="111"/>
      <c r="P55" s="71"/>
      <c r="Q55" s="71"/>
      <c r="R55" s="71"/>
      <c r="S55" s="71"/>
    </row>
    <row r="56" spans="1:19" ht="15">
      <c r="A56" s="112">
        <v>5.8</v>
      </c>
      <c r="B56" s="113">
        <f t="shared" si="0"/>
        <v>35.8</v>
      </c>
      <c r="C56" s="114">
        <v>30</v>
      </c>
      <c r="D56" s="105">
        <f t="shared" si="9"/>
        <v>46</v>
      </c>
      <c r="E56" s="115">
        <f t="shared" si="1"/>
        <v>0.162</v>
      </c>
      <c r="F56" s="113">
        <f t="shared" si="2"/>
        <v>2.457</v>
      </c>
      <c r="G56" s="116">
        <f t="shared" si="3"/>
        <v>554.78</v>
      </c>
      <c r="H56" s="117">
        <f t="shared" si="4"/>
        <v>240.03980616130147</v>
      </c>
      <c r="I56" s="113">
        <f t="shared" si="5"/>
        <v>128.4</v>
      </c>
      <c r="J56" s="116">
        <f t="shared" si="6"/>
        <v>797.3640000000001</v>
      </c>
      <c r="K56" s="113">
        <f t="shared" si="7"/>
        <v>345.00000000000006</v>
      </c>
      <c r="L56" s="118" t="str">
        <f t="shared" si="8"/>
        <v>Net Section will Fracture</v>
      </c>
      <c r="M56" s="111"/>
      <c r="N56" s="111"/>
      <c r="O56" s="111"/>
      <c r="P56" s="71"/>
      <c r="Q56" s="71"/>
      <c r="R56" s="71"/>
      <c r="S56" s="71"/>
    </row>
    <row r="57" spans="1:19" ht="15">
      <c r="A57" s="112">
        <v>7</v>
      </c>
      <c r="B57" s="113">
        <f t="shared" si="0"/>
        <v>37</v>
      </c>
      <c r="C57" s="114">
        <v>30</v>
      </c>
      <c r="D57" s="105">
        <f t="shared" si="9"/>
        <v>46</v>
      </c>
      <c r="E57" s="115">
        <f t="shared" si="1"/>
        <v>0.189</v>
      </c>
      <c r="F57" s="113">
        <f t="shared" si="2"/>
        <v>2.337</v>
      </c>
      <c r="G57" s="116">
        <f t="shared" si="3"/>
        <v>530.93</v>
      </c>
      <c r="H57" s="117">
        <f t="shared" si="4"/>
        <v>234.09611992945327</v>
      </c>
      <c r="I57" s="113">
        <f t="shared" si="5"/>
        <v>126</v>
      </c>
      <c r="J57" s="116">
        <f t="shared" si="6"/>
        <v>782.46</v>
      </c>
      <c r="K57" s="113">
        <f t="shared" si="7"/>
        <v>345</v>
      </c>
      <c r="L57" s="118" t="str">
        <f t="shared" si="8"/>
        <v>Net Section will Fracture</v>
      </c>
      <c r="M57" s="111"/>
      <c r="N57" s="111"/>
      <c r="O57" s="111"/>
      <c r="P57" s="71"/>
      <c r="Q57" s="71"/>
      <c r="R57" s="71"/>
      <c r="S57" s="71"/>
    </row>
    <row r="58" spans="1:19" s="25" customFormat="1" ht="12.75">
      <c r="A58" s="112">
        <v>8</v>
      </c>
      <c r="B58" s="113">
        <f t="shared" si="0"/>
        <v>38</v>
      </c>
      <c r="C58" s="114">
        <v>30</v>
      </c>
      <c r="D58" s="105">
        <f t="shared" si="9"/>
        <v>46</v>
      </c>
      <c r="E58" s="115">
        <f t="shared" si="1"/>
        <v>0.211</v>
      </c>
      <c r="F58" s="113">
        <f t="shared" si="2"/>
        <v>2.246</v>
      </c>
      <c r="G58" s="116">
        <f t="shared" si="3"/>
        <v>516.76</v>
      </c>
      <c r="H58" s="117">
        <f t="shared" si="4"/>
        <v>231.52329749103941</v>
      </c>
      <c r="I58" s="113">
        <f t="shared" si="5"/>
        <v>124</v>
      </c>
      <c r="J58" s="116">
        <f t="shared" si="6"/>
        <v>770.04</v>
      </c>
      <c r="K58" s="113">
        <f t="shared" si="7"/>
        <v>345</v>
      </c>
      <c r="L58" s="118" t="str">
        <f t="shared" si="8"/>
        <v>Net Section will Fracture</v>
      </c>
      <c r="M58" s="111"/>
      <c r="N58" s="111"/>
      <c r="O58" s="111"/>
      <c r="P58" s="93"/>
      <c r="Q58" s="93"/>
      <c r="R58" s="93"/>
      <c r="S58" s="93"/>
    </row>
    <row r="59" spans="1:19" s="25" customFormat="1" ht="12.75">
      <c r="A59" s="112">
        <v>9</v>
      </c>
      <c r="B59" s="113">
        <f t="shared" si="0"/>
        <v>39</v>
      </c>
      <c r="C59" s="114">
        <v>30</v>
      </c>
      <c r="D59" s="105">
        <f t="shared" si="9"/>
        <v>46</v>
      </c>
      <c r="E59" s="115">
        <f t="shared" si="1"/>
        <v>0.231</v>
      </c>
      <c r="F59" s="113">
        <f t="shared" si="2"/>
        <v>2.167</v>
      </c>
      <c r="G59" s="116">
        <f t="shared" si="3"/>
        <v>504.97</v>
      </c>
      <c r="H59" s="117">
        <f t="shared" si="4"/>
        <v>229.94990892531877</v>
      </c>
      <c r="I59" s="113">
        <f t="shared" si="5"/>
        <v>122</v>
      </c>
      <c r="J59" s="116">
        <f t="shared" si="6"/>
        <v>757.62</v>
      </c>
      <c r="K59" s="113">
        <f t="shared" si="7"/>
        <v>345</v>
      </c>
      <c r="L59" s="118" t="str">
        <f t="shared" si="8"/>
        <v>Net Section will Fracture</v>
      </c>
      <c r="M59" s="111"/>
      <c r="N59" s="111"/>
      <c r="O59" s="111"/>
      <c r="P59" s="93"/>
      <c r="Q59" s="93"/>
      <c r="R59" s="93"/>
      <c r="S59" s="93"/>
    </row>
    <row r="60" spans="1:19" s="25" customFormat="1" ht="12.75">
      <c r="A60" s="119">
        <v>10</v>
      </c>
      <c r="B60" s="120">
        <f t="shared" si="0"/>
        <v>40</v>
      </c>
      <c r="C60" s="121">
        <v>30</v>
      </c>
      <c r="D60" s="105">
        <f t="shared" si="9"/>
        <v>46</v>
      </c>
      <c r="E60" s="122">
        <f t="shared" si="1"/>
        <v>0.25</v>
      </c>
      <c r="F60" s="120">
        <f t="shared" si="2"/>
        <v>2.096</v>
      </c>
      <c r="G60" s="123">
        <f t="shared" si="3"/>
        <v>495.28</v>
      </c>
      <c r="H60" s="124">
        <f t="shared" si="4"/>
        <v>229.2962962962963</v>
      </c>
      <c r="I60" s="120">
        <f t="shared" si="5"/>
        <v>120</v>
      </c>
      <c r="J60" s="123">
        <f t="shared" si="6"/>
        <v>745.2</v>
      </c>
      <c r="K60" s="120">
        <f t="shared" si="7"/>
        <v>345</v>
      </c>
      <c r="L60" s="125" t="str">
        <f t="shared" si="8"/>
        <v>Net Section will Fracture</v>
      </c>
      <c r="M60" s="111"/>
      <c r="N60" s="111"/>
      <c r="O60" s="93"/>
      <c r="P60" s="93"/>
      <c r="Q60" s="93"/>
      <c r="R60" s="93"/>
      <c r="S60" s="93"/>
    </row>
    <row r="61" spans="1:19" s="25" customFormat="1" ht="12.75">
      <c r="A61" s="111"/>
      <c r="B61" s="111"/>
      <c r="C61" s="111"/>
      <c r="D61" s="111"/>
      <c r="E61" s="111"/>
      <c r="F61" s="111"/>
      <c r="G61" s="126"/>
      <c r="H61" s="126"/>
      <c r="I61" s="111"/>
      <c r="J61" s="126"/>
      <c r="K61" s="111"/>
      <c r="L61" s="93"/>
      <c r="M61" s="93"/>
      <c r="N61" s="93"/>
      <c r="O61" s="93"/>
      <c r="P61" s="93"/>
      <c r="Q61" s="93"/>
      <c r="R61" s="93"/>
      <c r="S61" s="93"/>
    </row>
    <row r="62" spans="1:19" s="26" customFormat="1" ht="12.75">
      <c r="A62" s="12"/>
      <c r="B62" s="12"/>
      <c r="C62" s="12"/>
      <c r="D62" s="12"/>
      <c r="E62" s="12"/>
      <c r="F62" s="12"/>
      <c r="G62" s="64"/>
      <c r="H62" s="64"/>
      <c r="I62" s="12"/>
      <c r="J62" s="64"/>
      <c r="K62" s="12"/>
      <c r="L62" s="11"/>
      <c r="M62" s="11"/>
      <c r="N62" s="11"/>
      <c r="O62" s="11"/>
      <c r="P62" s="11"/>
      <c r="Q62" s="11"/>
      <c r="R62" s="11"/>
      <c r="S62" s="11"/>
    </row>
    <row r="63" spans="1:19" s="26" customFormat="1" ht="12.75">
      <c r="A63" s="12"/>
      <c r="B63" s="12"/>
      <c r="C63" s="12"/>
      <c r="D63" s="12"/>
      <c r="E63" s="12"/>
      <c r="F63" s="12"/>
      <c r="G63" s="64"/>
      <c r="H63" s="64"/>
      <c r="I63" s="12"/>
      <c r="J63" s="64"/>
      <c r="K63" s="12"/>
      <c r="L63" s="11"/>
      <c r="M63" s="11"/>
      <c r="N63" s="11"/>
      <c r="O63" s="11"/>
      <c r="P63" s="11"/>
      <c r="Q63" s="11"/>
      <c r="R63" s="11"/>
      <c r="S63" s="11"/>
    </row>
    <row r="64" spans="1:19" s="26" customFormat="1" ht="25.5">
      <c r="A64" s="93" t="s">
        <v>56</v>
      </c>
      <c r="B64" s="93"/>
      <c r="C64" s="93"/>
      <c r="D64" s="94"/>
      <c r="E64" s="93"/>
      <c r="F64" s="93"/>
      <c r="G64" s="129" t="s">
        <v>40</v>
      </c>
      <c r="H64" s="130"/>
      <c r="I64" s="93"/>
      <c r="J64" s="95" t="s">
        <v>41</v>
      </c>
      <c r="K64" s="93"/>
      <c r="L64" s="93"/>
      <c r="M64" s="11"/>
      <c r="N64" s="11"/>
      <c r="O64" s="11"/>
      <c r="P64" s="11"/>
      <c r="Q64" s="11"/>
      <c r="R64" s="11"/>
      <c r="S64" s="11"/>
    </row>
    <row r="65" spans="1:19" s="26" customFormat="1" ht="55.5" customHeight="1">
      <c r="A65" s="96" t="s">
        <v>38</v>
      </c>
      <c r="B65" s="97" t="s">
        <v>65</v>
      </c>
      <c r="C65" s="96" t="s">
        <v>37</v>
      </c>
      <c r="D65" s="98" t="s">
        <v>66</v>
      </c>
      <c r="E65" s="99" t="s">
        <v>67</v>
      </c>
      <c r="F65" s="99" t="s">
        <v>53</v>
      </c>
      <c r="G65" s="100" t="s">
        <v>62</v>
      </c>
      <c r="H65" s="101" t="s">
        <v>50</v>
      </c>
      <c r="I65" s="96" t="s">
        <v>42</v>
      </c>
      <c r="J65" s="100" t="s">
        <v>63</v>
      </c>
      <c r="K65" s="102" t="s">
        <v>51</v>
      </c>
      <c r="L65" s="103"/>
      <c r="M65" s="11"/>
      <c r="N65" s="11"/>
      <c r="O65" s="11"/>
      <c r="P65" s="11"/>
      <c r="Q65" s="11"/>
      <c r="R65" s="11"/>
      <c r="S65" s="11"/>
    </row>
    <row r="66" spans="1:19" ht="15">
      <c r="A66" s="104">
        <v>1</v>
      </c>
      <c r="B66" s="105">
        <f aca="true" t="shared" si="10" ref="B66:B78">($F$7/2+$A66)</f>
        <v>31</v>
      </c>
      <c r="C66" s="106">
        <v>15</v>
      </c>
      <c r="D66" s="105">
        <f>40+0.2*C66</f>
        <v>43</v>
      </c>
      <c r="E66" s="107">
        <f aca="true" t="shared" si="11" ref="E66:E78">ROUND($A66/($F$7/2+$A66),3)</f>
        <v>0.032</v>
      </c>
      <c r="F66" s="105">
        <f aca="true" t="shared" si="12" ref="F66:F78">ROUND(0.5*(3-E66)*(1+1.243*(1-E66)^3),3)</f>
        <v>3.157</v>
      </c>
      <c r="G66" s="108">
        <f aca="true" t="shared" si="13" ref="G66:G78">ROUND($D66/($F66*$G$37*SQRT(PI()*$A66/1000))/1000,2)</f>
        <v>972.03</v>
      </c>
      <c r="H66" s="109">
        <f aca="true" t="shared" si="14" ref="H66:H78">G66*1000/(I66*$F$4*0.9)</f>
        <v>391.3164251207729</v>
      </c>
      <c r="I66" s="105">
        <f aca="true" t="shared" si="15" ref="I66:I78">$F$5-$F$7-2*$A66</f>
        <v>138</v>
      </c>
      <c r="J66" s="108">
        <f aca="true" t="shared" si="16" ref="J66:J78">0.9*$E$24*$I66*$F$4/1000</f>
        <v>856.98</v>
      </c>
      <c r="K66" s="105">
        <f aca="true" t="shared" si="17" ref="K66:K78">J66*1000/(0.9*$I66*$F$4)</f>
        <v>345</v>
      </c>
      <c r="L66" s="110" t="str">
        <f aca="true" t="shared" si="18" ref="L66:L78">IF($H66&gt;$K66,"Net Section will Yeild before Fracture","Net Section will Fracture")</f>
        <v>Net Section will Yeild before Fracture</v>
      </c>
      <c r="M66" s="71"/>
      <c r="N66" s="71"/>
      <c r="O66" s="71"/>
      <c r="P66" s="71"/>
      <c r="Q66" s="71"/>
      <c r="R66" s="71"/>
      <c r="S66" s="71"/>
    </row>
    <row r="67" spans="1:19" ht="15">
      <c r="A67" s="112">
        <v>1.5</v>
      </c>
      <c r="B67" s="113">
        <f t="shared" si="10"/>
        <v>31.5</v>
      </c>
      <c r="C67" s="114">
        <v>15</v>
      </c>
      <c r="D67" s="105">
        <f aca="true" t="shared" si="19" ref="D67:D78">40+0.2*C67</f>
        <v>43</v>
      </c>
      <c r="E67" s="115">
        <f t="shared" si="11"/>
        <v>0.048</v>
      </c>
      <c r="F67" s="113">
        <f t="shared" si="12"/>
        <v>3.059</v>
      </c>
      <c r="G67" s="116">
        <f t="shared" si="13"/>
        <v>819.08</v>
      </c>
      <c r="H67" s="117">
        <f t="shared" si="14"/>
        <v>332.1492295214923</v>
      </c>
      <c r="I67" s="113">
        <f t="shared" si="15"/>
        <v>137</v>
      </c>
      <c r="J67" s="116">
        <f t="shared" si="16"/>
        <v>850.77</v>
      </c>
      <c r="K67" s="113">
        <f t="shared" si="17"/>
        <v>345</v>
      </c>
      <c r="L67" s="118" t="str">
        <f t="shared" si="18"/>
        <v>Net Section will Fracture</v>
      </c>
      <c r="M67" s="71"/>
      <c r="N67" s="71"/>
      <c r="O67" s="71"/>
      <c r="P67" s="71"/>
      <c r="Q67" s="71"/>
      <c r="R67" s="71"/>
      <c r="S67" s="71"/>
    </row>
    <row r="68" spans="1:19" ht="15">
      <c r="A68" s="112">
        <v>2</v>
      </c>
      <c r="B68" s="113">
        <f t="shared" si="10"/>
        <v>32</v>
      </c>
      <c r="C68" s="114">
        <v>15</v>
      </c>
      <c r="D68" s="105">
        <f t="shared" si="19"/>
        <v>43</v>
      </c>
      <c r="E68" s="115">
        <f t="shared" si="11"/>
        <v>0.063</v>
      </c>
      <c r="F68" s="113">
        <f t="shared" si="12"/>
        <v>2.97</v>
      </c>
      <c r="G68" s="116">
        <f t="shared" si="13"/>
        <v>730.6</v>
      </c>
      <c r="H68" s="117">
        <f t="shared" si="14"/>
        <v>298.4477124183006</v>
      </c>
      <c r="I68" s="113">
        <f t="shared" si="15"/>
        <v>136</v>
      </c>
      <c r="J68" s="116">
        <f t="shared" si="16"/>
        <v>844.56</v>
      </c>
      <c r="K68" s="113">
        <f t="shared" si="17"/>
        <v>345</v>
      </c>
      <c r="L68" s="118" t="str">
        <f t="shared" si="18"/>
        <v>Net Section will Fracture</v>
      </c>
      <c r="M68" s="71"/>
      <c r="N68" s="71"/>
      <c r="O68" s="71"/>
      <c r="P68" s="71"/>
      <c r="Q68" s="71"/>
      <c r="R68" s="71"/>
      <c r="S68" s="71"/>
    </row>
    <row r="69" spans="1:19" ht="15">
      <c r="A69" s="112">
        <v>2.5</v>
      </c>
      <c r="B69" s="113">
        <f t="shared" si="10"/>
        <v>32.5</v>
      </c>
      <c r="C69" s="114">
        <v>15</v>
      </c>
      <c r="D69" s="105">
        <f t="shared" si="19"/>
        <v>43</v>
      </c>
      <c r="E69" s="115">
        <f t="shared" si="11"/>
        <v>0.077</v>
      </c>
      <c r="F69" s="113">
        <f t="shared" si="12"/>
        <v>2.89</v>
      </c>
      <c r="G69" s="116">
        <f t="shared" si="13"/>
        <v>671.56</v>
      </c>
      <c r="H69" s="117">
        <f t="shared" si="14"/>
        <v>276.36213991769546</v>
      </c>
      <c r="I69" s="113">
        <f t="shared" si="15"/>
        <v>135</v>
      </c>
      <c r="J69" s="116">
        <f t="shared" si="16"/>
        <v>838.35</v>
      </c>
      <c r="K69" s="113">
        <f t="shared" si="17"/>
        <v>345</v>
      </c>
      <c r="L69" s="118" t="str">
        <f t="shared" si="18"/>
        <v>Net Section will Fracture</v>
      </c>
      <c r="M69" s="71"/>
      <c r="N69" s="71"/>
      <c r="O69" s="71"/>
      <c r="P69" s="71"/>
      <c r="Q69" s="71"/>
      <c r="R69" s="71"/>
      <c r="S69" s="71"/>
    </row>
    <row r="70" spans="1:19" ht="15">
      <c r="A70" s="112">
        <v>3</v>
      </c>
      <c r="B70" s="113">
        <f t="shared" si="10"/>
        <v>33</v>
      </c>
      <c r="C70" s="114">
        <v>15</v>
      </c>
      <c r="D70" s="105">
        <f t="shared" si="19"/>
        <v>43</v>
      </c>
      <c r="E70" s="115">
        <f t="shared" si="11"/>
        <v>0.091</v>
      </c>
      <c r="F70" s="113">
        <f t="shared" si="12"/>
        <v>2.812</v>
      </c>
      <c r="G70" s="116">
        <f t="shared" si="13"/>
        <v>630.05</v>
      </c>
      <c r="H70" s="117">
        <f t="shared" si="14"/>
        <v>261.21475953565505</v>
      </c>
      <c r="I70" s="113">
        <f t="shared" si="15"/>
        <v>134</v>
      </c>
      <c r="J70" s="116">
        <f t="shared" si="16"/>
        <v>832.14</v>
      </c>
      <c r="K70" s="113">
        <f t="shared" si="17"/>
        <v>345</v>
      </c>
      <c r="L70" s="118" t="str">
        <f t="shared" si="18"/>
        <v>Net Section will Fracture</v>
      </c>
      <c r="M70" s="71"/>
      <c r="N70" s="71"/>
      <c r="O70" s="71"/>
      <c r="P70" s="71"/>
      <c r="Q70" s="71"/>
      <c r="R70" s="71"/>
      <c r="S70" s="71"/>
    </row>
    <row r="71" spans="1:19" ht="15">
      <c r="A71" s="112">
        <v>3.5</v>
      </c>
      <c r="B71" s="113">
        <f t="shared" si="10"/>
        <v>33.5</v>
      </c>
      <c r="C71" s="114">
        <v>15</v>
      </c>
      <c r="D71" s="105">
        <f t="shared" si="19"/>
        <v>43</v>
      </c>
      <c r="E71" s="115">
        <f t="shared" si="11"/>
        <v>0.104</v>
      </c>
      <c r="F71" s="113">
        <f t="shared" si="12"/>
        <v>2.743</v>
      </c>
      <c r="G71" s="116">
        <f t="shared" si="13"/>
        <v>597.99</v>
      </c>
      <c r="H71" s="117">
        <f t="shared" si="14"/>
        <v>249.78696741854637</v>
      </c>
      <c r="I71" s="113">
        <f t="shared" si="15"/>
        <v>133</v>
      </c>
      <c r="J71" s="116">
        <f t="shared" si="16"/>
        <v>825.93</v>
      </c>
      <c r="K71" s="113">
        <f t="shared" si="17"/>
        <v>345</v>
      </c>
      <c r="L71" s="118" t="str">
        <f t="shared" si="18"/>
        <v>Net Section will Fracture</v>
      </c>
      <c r="M71" s="71"/>
      <c r="N71" s="71"/>
      <c r="O71" s="71"/>
      <c r="P71" s="71"/>
      <c r="Q71" s="71"/>
      <c r="R71" s="71"/>
      <c r="S71" s="71"/>
    </row>
    <row r="72" spans="1:19" ht="15">
      <c r="A72" s="112">
        <v>4</v>
      </c>
      <c r="B72" s="113">
        <f t="shared" si="10"/>
        <v>34</v>
      </c>
      <c r="C72" s="114">
        <v>15</v>
      </c>
      <c r="D72" s="105">
        <f t="shared" si="19"/>
        <v>43</v>
      </c>
      <c r="E72" s="115">
        <f t="shared" si="11"/>
        <v>0.118</v>
      </c>
      <c r="F72" s="113">
        <f t="shared" si="12"/>
        <v>2.67</v>
      </c>
      <c r="G72" s="116">
        <f t="shared" si="13"/>
        <v>574.66</v>
      </c>
      <c r="H72" s="117">
        <f t="shared" si="14"/>
        <v>241.86026936026937</v>
      </c>
      <c r="I72" s="113">
        <f t="shared" si="15"/>
        <v>132</v>
      </c>
      <c r="J72" s="116">
        <f t="shared" si="16"/>
        <v>819.72</v>
      </c>
      <c r="K72" s="113">
        <f t="shared" si="17"/>
        <v>345</v>
      </c>
      <c r="L72" s="118" t="str">
        <f t="shared" si="18"/>
        <v>Net Section will Fracture</v>
      </c>
      <c r="M72" s="71"/>
      <c r="N72" s="71"/>
      <c r="O72" s="71"/>
      <c r="P72" s="71"/>
      <c r="Q72" s="71"/>
      <c r="R72" s="71"/>
      <c r="S72" s="71"/>
    </row>
    <row r="73" spans="1:19" ht="15">
      <c r="A73" s="112">
        <v>4.5</v>
      </c>
      <c r="B73" s="113">
        <f t="shared" si="10"/>
        <v>34.5</v>
      </c>
      <c r="C73" s="114">
        <v>15</v>
      </c>
      <c r="D73" s="105">
        <f t="shared" si="19"/>
        <v>43</v>
      </c>
      <c r="E73" s="115">
        <f t="shared" si="11"/>
        <v>0.13</v>
      </c>
      <c r="F73" s="113">
        <f t="shared" si="12"/>
        <v>2.61</v>
      </c>
      <c r="G73" s="116">
        <f t="shared" si="13"/>
        <v>554.25</v>
      </c>
      <c r="H73" s="117">
        <f t="shared" si="14"/>
        <v>235.05089058524172</v>
      </c>
      <c r="I73" s="113">
        <f t="shared" si="15"/>
        <v>131</v>
      </c>
      <c r="J73" s="116">
        <f t="shared" si="16"/>
        <v>813.51</v>
      </c>
      <c r="K73" s="113">
        <f t="shared" si="17"/>
        <v>345</v>
      </c>
      <c r="L73" s="118" t="str">
        <f t="shared" si="18"/>
        <v>Net Section will Fracture</v>
      </c>
      <c r="M73" s="71"/>
      <c r="N73" s="71"/>
      <c r="O73" s="71"/>
      <c r="P73" s="71"/>
      <c r="Q73" s="71"/>
      <c r="R73" s="71"/>
      <c r="S73" s="71"/>
    </row>
    <row r="74" spans="1:19" ht="15">
      <c r="A74" s="112">
        <v>6</v>
      </c>
      <c r="B74" s="113">
        <f t="shared" si="10"/>
        <v>36</v>
      </c>
      <c r="C74" s="114">
        <v>15</v>
      </c>
      <c r="D74" s="105">
        <f t="shared" si="19"/>
        <v>43</v>
      </c>
      <c r="E74" s="115">
        <f t="shared" si="11"/>
        <v>0.167</v>
      </c>
      <c r="F74" s="113">
        <f t="shared" si="12"/>
        <v>2.434</v>
      </c>
      <c r="G74" s="116">
        <f t="shared" si="13"/>
        <v>514.7</v>
      </c>
      <c r="H74" s="117">
        <f t="shared" si="14"/>
        <v>223.39409722222226</v>
      </c>
      <c r="I74" s="113">
        <f t="shared" si="15"/>
        <v>128</v>
      </c>
      <c r="J74" s="116">
        <f t="shared" si="16"/>
        <v>794.88</v>
      </c>
      <c r="K74" s="113">
        <f t="shared" si="17"/>
        <v>345</v>
      </c>
      <c r="L74" s="118" t="str">
        <f t="shared" si="18"/>
        <v>Net Section will Fracture</v>
      </c>
      <c r="M74" s="71"/>
      <c r="N74" s="71"/>
      <c r="O74" s="71"/>
      <c r="P74" s="71"/>
      <c r="Q74" s="71"/>
      <c r="R74" s="71"/>
      <c r="S74" s="71"/>
    </row>
    <row r="75" spans="1:19" ht="15">
      <c r="A75" s="112">
        <v>7</v>
      </c>
      <c r="B75" s="113">
        <f t="shared" si="10"/>
        <v>37</v>
      </c>
      <c r="C75" s="114">
        <v>15</v>
      </c>
      <c r="D75" s="105">
        <f t="shared" si="19"/>
        <v>43</v>
      </c>
      <c r="E75" s="115">
        <f t="shared" si="11"/>
        <v>0.189</v>
      </c>
      <c r="F75" s="113">
        <f t="shared" si="12"/>
        <v>2.337</v>
      </c>
      <c r="G75" s="116">
        <f t="shared" si="13"/>
        <v>496.3</v>
      </c>
      <c r="H75" s="117">
        <f t="shared" si="14"/>
        <v>218.82716049382717</v>
      </c>
      <c r="I75" s="113">
        <f t="shared" si="15"/>
        <v>126</v>
      </c>
      <c r="J75" s="116">
        <f t="shared" si="16"/>
        <v>782.46</v>
      </c>
      <c r="K75" s="113">
        <f t="shared" si="17"/>
        <v>345</v>
      </c>
      <c r="L75" s="118" t="str">
        <f t="shared" si="18"/>
        <v>Net Section will Fracture</v>
      </c>
      <c r="M75" s="71"/>
      <c r="N75" s="71"/>
      <c r="O75" s="71"/>
      <c r="P75" s="71"/>
      <c r="Q75" s="71"/>
      <c r="R75" s="71"/>
      <c r="S75" s="71"/>
    </row>
    <row r="76" spans="1:19" ht="15">
      <c r="A76" s="112">
        <v>8</v>
      </c>
      <c r="B76" s="113">
        <f t="shared" si="10"/>
        <v>38</v>
      </c>
      <c r="C76" s="114">
        <v>15</v>
      </c>
      <c r="D76" s="105">
        <f t="shared" si="19"/>
        <v>43</v>
      </c>
      <c r="E76" s="115">
        <f t="shared" si="11"/>
        <v>0.211</v>
      </c>
      <c r="F76" s="113">
        <f t="shared" si="12"/>
        <v>2.246</v>
      </c>
      <c r="G76" s="116">
        <f t="shared" si="13"/>
        <v>483.06</v>
      </c>
      <c r="H76" s="117">
        <f t="shared" si="14"/>
        <v>216.4247311827957</v>
      </c>
      <c r="I76" s="113">
        <f t="shared" si="15"/>
        <v>124</v>
      </c>
      <c r="J76" s="116">
        <f t="shared" si="16"/>
        <v>770.04</v>
      </c>
      <c r="K76" s="113">
        <f t="shared" si="17"/>
        <v>345</v>
      </c>
      <c r="L76" s="118" t="str">
        <f t="shared" si="18"/>
        <v>Net Section will Fracture</v>
      </c>
      <c r="M76" s="71"/>
      <c r="N76" s="71"/>
      <c r="O76" s="71"/>
      <c r="P76" s="71"/>
      <c r="Q76" s="71"/>
      <c r="R76" s="71"/>
      <c r="S76" s="71"/>
    </row>
    <row r="77" spans="1:19" ht="15">
      <c r="A77" s="112">
        <v>9</v>
      </c>
      <c r="B77" s="113">
        <f t="shared" si="10"/>
        <v>39</v>
      </c>
      <c r="C77" s="114">
        <v>15</v>
      </c>
      <c r="D77" s="105">
        <f t="shared" si="19"/>
        <v>43</v>
      </c>
      <c r="E77" s="115">
        <f t="shared" si="11"/>
        <v>0.231</v>
      </c>
      <c r="F77" s="113">
        <f t="shared" si="12"/>
        <v>2.167</v>
      </c>
      <c r="G77" s="116">
        <f t="shared" si="13"/>
        <v>472.03</v>
      </c>
      <c r="H77" s="117">
        <f t="shared" si="14"/>
        <v>214.94990892531877</v>
      </c>
      <c r="I77" s="113">
        <f t="shared" si="15"/>
        <v>122</v>
      </c>
      <c r="J77" s="116">
        <f t="shared" si="16"/>
        <v>757.62</v>
      </c>
      <c r="K77" s="113">
        <f t="shared" si="17"/>
        <v>345</v>
      </c>
      <c r="L77" s="118" t="str">
        <f t="shared" si="18"/>
        <v>Net Section will Fracture</v>
      </c>
      <c r="M77" s="71"/>
      <c r="N77" s="71"/>
      <c r="O77" s="71"/>
      <c r="P77" s="71"/>
      <c r="Q77" s="71"/>
      <c r="R77" s="71"/>
      <c r="S77" s="71"/>
    </row>
    <row r="78" spans="1:19" ht="15">
      <c r="A78" s="119">
        <v>10</v>
      </c>
      <c r="B78" s="120">
        <f t="shared" si="10"/>
        <v>40</v>
      </c>
      <c r="C78" s="121">
        <v>15</v>
      </c>
      <c r="D78" s="105">
        <f t="shared" si="19"/>
        <v>43</v>
      </c>
      <c r="E78" s="122">
        <f t="shared" si="11"/>
        <v>0.25</v>
      </c>
      <c r="F78" s="120">
        <f t="shared" si="12"/>
        <v>2.096</v>
      </c>
      <c r="G78" s="123">
        <f t="shared" si="13"/>
        <v>462.98</v>
      </c>
      <c r="H78" s="124">
        <f t="shared" si="14"/>
        <v>214.34259259259258</v>
      </c>
      <c r="I78" s="120">
        <f t="shared" si="15"/>
        <v>120</v>
      </c>
      <c r="J78" s="123">
        <f t="shared" si="16"/>
        <v>745.2</v>
      </c>
      <c r="K78" s="120">
        <f t="shared" si="17"/>
        <v>345</v>
      </c>
      <c r="L78" s="125" t="str">
        <f t="shared" si="18"/>
        <v>Net Section will Fracture</v>
      </c>
      <c r="M78" s="71"/>
      <c r="N78" s="71"/>
      <c r="O78" s="71"/>
      <c r="P78" s="71"/>
      <c r="Q78" s="71"/>
      <c r="R78" s="71"/>
      <c r="S78" s="71"/>
    </row>
    <row r="79" spans="1:19" ht="15">
      <c r="A79" s="71"/>
      <c r="B79" s="71"/>
      <c r="C79" s="71"/>
      <c r="D79" s="71"/>
      <c r="E79" s="71"/>
      <c r="F79" s="71"/>
      <c r="G79" s="73"/>
      <c r="H79" s="73"/>
      <c r="I79" s="71"/>
      <c r="J79" s="73"/>
      <c r="K79" s="71"/>
      <c r="L79" s="71"/>
      <c r="M79" s="71"/>
      <c r="N79" s="71"/>
      <c r="O79" s="71"/>
      <c r="P79" s="71"/>
      <c r="Q79" s="71"/>
      <c r="R79" s="71"/>
      <c r="S79" s="71"/>
    </row>
    <row r="80" spans="1:19" ht="15">
      <c r="A80" s="71"/>
      <c r="B80" s="71"/>
      <c r="C80" s="71"/>
      <c r="D80" s="71"/>
      <c r="E80" s="71"/>
      <c r="F80" s="71"/>
      <c r="G80" s="73"/>
      <c r="H80" s="73"/>
      <c r="I80" s="71"/>
      <c r="J80" s="73"/>
      <c r="K80" s="71"/>
      <c r="L80" s="71"/>
      <c r="M80" s="71"/>
      <c r="N80" s="71"/>
      <c r="O80" s="71"/>
      <c r="P80" s="71"/>
      <c r="Q80" s="71"/>
      <c r="R80" s="71"/>
      <c r="S80" s="71"/>
    </row>
    <row r="81" spans="1:19" ht="15">
      <c r="A81" s="71"/>
      <c r="B81" s="71"/>
      <c r="C81" s="71"/>
      <c r="D81" s="71"/>
      <c r="E81" s="71"/>
      <c r="F81" s="71"/>
      <c r="G81" s="73"/>
      <c r="H81" s="73"/>
      <c r="I81" s="71"/>
      <c r="J81" s="73"/>
      <c r="K81" s="71"/>
      <c r="L81" s="71"/>
      <c r="M81" s="71"/>
      <c r="N81" s="71"/>
      <c r="O81" s="71"/>
      <c r="P81" s="71"/>
      <c r="Q81" s="71"/>
      <c r="R81" s="71"/>
      <c r="S81" s="71"/>
    </row>
    <row r="82" spans="1:19" ht="26.25">
      <c r="A82" s="93" t="s">
        <v>57</v>
      </c>
      <c r="B82" s="93"/>
      <c r="C82" s="93"/>
      <c r="D82" s="94"/>
      <c r="E82" s="93"/>
      <c r="F82" s="93"/>
      <c r="G82" s="129" t="s">
        <v>40</v>
      </c>
      <c r="H82" s="130"/>
      <c r="I82" s="93"/>
      <c r="J82" s="95" t="s">
        <v>41</v>
      </c>
      <c r="K82" s="93"/>
      <c r="L82" s="93"/>
      <c r="M82" s="71"/>
      <c r="N82" s="71"/>
      <c r="O82" s="71"/>
      <c r="P82" s="71"/>
      <c r="Q82" s="71"/>
      <c r="R82" s="71"/>
      <c r="S82" s="71"/>
    </row>
    <row r="83" spans="1:19" ht="53.25" customHeight="1">
      <c r="A83" s="96" t="s">
        <v>38</v>
      </c>
      <c r="B83" s="97" t="s">
        <v>65</v>
      </c>
      <c r="C83" s="96" t="s">
        <v>37</v>
      </c>
      <c r="D83" s="98" t="s">
        <v>66</v>
      </c>
      <c r="E83" s="99" t="s">
        <v>67</v>
      </c>
      <c r="F83" s="99" t="s">
        <v>53</v>
      </c>
      <c r="G83" s="100" t="s">
        <v>62</v>
      </c>
      <c r="H83" s="101" t="s">
        <v>50</v>
      </c>
      <c r="I83" s="96" t="s">
        <v>42</v>
      </c>
      <c r="J83" s="100" t="s">
        <v>63</v>
      </c>
      <c r="K83" s="102" t="s">
        <v>51</v>
      </c>
      <c r="L83" s="103"/>
      <c r="M83" s="71"/>
      <c r="N83" s="71"/>
      <c r="O83" s="71"/>
      <c r="P83" s="71"/>
      <c r="Q83" s="71"/>
      <c r="R83" s="71"/>
      <c r="S83" s="71"/>
    </row>
    <row r="84" spans="1:19" ht="15">
      <c r="A84" s="104">
        <v>1</v>
      </c>
      <c r="B84" s="105">
        <f aca="true" t="shared" si="20" ref="B84:B96">($F$7/2+$A84)</f>
        <v>31</v>
      </c>
      <c r="C84" s="106">
        <v>0</v>
      </c>
      <c r="D84" s="105">
        <f>40+0.2*C84</f>
        <v>40</v>
      </c>
      <c r="E84" s="107">
        <f aca="true" t="shared" si="21" ref="E84:E96">ROUND($A84/($F$7/2+$A84),3)</f>
        <v>0.032</v>
      </c>
      <c r="F84" s="105">
        <f aca="true" t="shared" si="22" ref="F84:F96">ROUND(0.5*(3-E84)*(1+1.243*(1-E84)^3),3)</f>
        <v>3.157</v>
      </c>
      <c r="G84" s="108">
        <f aca="true" t="shared" si="23" ref="G84:G96">ROUND($D84/($F84*$G$37*SQRT(PI()*$A84/1000))/1000,2)</f>
        <v>904.21</v>
      </c>
      <c r="H84" s="109">
        <f aca="true" t="shared" si="24" ref="H84:H96">G84*1000/(I84*$F$4*0.9)</f>
        <v>364.0136876006441</v>
      </c>
      <c r="I84" s="105">
        <f aca="true" t="shared" si="25" ref="I84:I96">$F$5-$F$7-2*$A84</f>
        <v>138</v>
      </c>
      <c r="J84" s="108">
        <f aca="true" t="shared" si="26" ref="J84:J96">0.9*$E$24*$I84*$F$4/1000</f>
        <v>856.98</v>
      </c>
      <c r="K84" s="105">
        <f aca="true" t="shared" si="27" ref="K84:K96">J84*1000/(0.9*$I84*$F$4)</f>
        <v>345</v>
      </c>
      <c r="L84" s="110" t="str">
        <f aca="true" t="shared" si="28" ref="L84:L96">IF($H84&gt;$K84,"Net Section will Yeild before Fracture","Net Section will Fracture")</f>
        <v>Net Section will Yeild before Fracture</v>
      </c>
      <c r="M84" s="71"/>
      <c r="N84" s="71"/>
      <c r="O84" s="71"/>
      <c r="P84" s="71"/>
      <c r="Q84" s="71"/>
      <c r="R84" s="71"/>
      <c r="S84" s="71"/>
    </row>
    <row r="85" spans="1:19" ht="15">
      <c r="A85" s="112">
        <v>1.5</v>
      </c>
      <c r="B85" s="113">
        <f t="shared" si="20"/>
        <v>31.5</v>
      </c>
      <c r="C85" s="114">
        <v>0</v>
      </c>
      <c r="D85" s="105">
        <f aca="true" t="shared" si="29" ref="D85:D96">40+0.2*C85</f>
        <v>40</v>
      </c>
      <c r="E85" s="115">
        <f t="shared" si="21"/>
        <v>0.048</v>
      </c>
      <c r="F85" s="113">
        <f t="shared" si="22"/>
        <v>3.059</v>
      </c>
      <c r="G85" s="116">
        <f t="shared" si="23"/>
        <v>761.94</v>
      </c>
      <c r="H85" s="117">
        <f t="shared" si="24"/>
        <v>308.978102189781</v>
      </c>
      <c r="I85" s="113">
        <f t="shared" si="25"/>
        <v>137</v>
      </c>
      <c r="J85" s="116">
        <f t="shared" si="26"/>
        <v>850.77</v>
      </c>
      <c r="K85" s="113">
        <f t="shared" si="27"/>
        <v>345</v>
      </c>
      <c r="L85" s="118" t="str">
        <f t="shared" si="28"/>
        <v>Net Section will Fracture</v>
      </c>
      <c r="M85" s="71"/>
      <c r="N85" s="71"/>
      <c r="O85" s="71"/>
      <c r="P85" s="71"/>
      <c r="Q85" s="71"/>
      <c r="R85" s="71"/>
      <c r="S85" s="71"/>
    </row>
    <row r="86" spans="1:19" ht="15">
      <c r="A86" s="112">
        <v>2</v>
      </c>
      <c r="B86" s="113">
        <f t="shared" si="20"/>
        <v>32</v>
      </c>
      <c r="C86" s="114">
        <v>0</v>
      </c>
      <c r="D86" s="105">
        <f t="shared" si="29"/>
        <v>40</v>
      </c>
      <c r="E86" s="115">
        <f t="shared" si="21"/>
        <v>0.063</v>
      </c>
      <c r="F86" s="113">
        <f t="shared" si="22"/>
        <v>2.97</v>
      </c>
      <c r="G86" s="116">
        <f t="shared" si="23"/>
        <v>679.63</v>
      </c>
      <c r="H86" s="117">
        <f t="shared" si="24"/>
        <v>277.6266339869281</v>
      </c>
      <c r="I86" s="113">
        <f t="shared" si="25"/>
        <v>136</v>
      </c>
      <c r="J86" s="116">
        <f t="shared" si="26"/>
        <v>844.56</v>
      </c>
      <c r="K86" s="113">
        <f t="shared" si="27"/>
        <v>345</v>
      </c>
      <c r="L86" s="118" t="str">
        <f t="shared" si="28"/>
        <v>Net Section will Fracture</v>
      </c>
      <c r="M86" s="71"/>
      <c r="N86" s="71"/>
      <c r="O86" s="71"/>
      <c r="P86" s="71"/>
      <c r="Q86" s="71"/>
      <c r="R86" s="71"/>
      <c r="S86" s="71"/>
    </row>
    <row r="87" spans="1:19" ht="15">
      <c r="A87" s="112">
        <v>2.5</v>
      </c>
      <c r="B87" s="113">
        <f t="shared" si="20"/>
        <v>32.5</v>
      </c>
      <c r="C87" s="114">
        <v>0</v>
      </c>
      <c r="D87" s="105">
        <f t="shared" si="29"/>
        <v>40</v>
      </c>
      <c r="E87" s="115">
        <f t="shared" si="21"/>
        <v>0.077</v>
      </c>
      <c r="F87" s="113">
        <f t="shared" si="22"/>
        <v>2.89</v>
      </c>
      <c r="G87" s="116">
        <f t="shared" si="23"/>
        <v>624.71</v>
      </c>
      <c r="H87" s="117">
        <f t="shared" si="24"/>
        <v>257.082304526749</v>
      </c>
      <c r="I87" s="113">
        <f t="shared" si="25"/>
        <v>135</v>
      </c>
      <c r="J87" s="116">
        <f t="shared" si="26"/>
        <v>838.35</v>
      </c>
      <c r="K87" s="113">
        <f t="shared" si="27"/>
        <v>345</v>
      </c>
      <c r="L87" s="118" t="str">
        <f t="shared" si="28"/>
        <v>Net Section will Fracture</v>
      </c>
      <c r="M87" s="71"/>
      <c r="N87" s="71"/>
      <c r="O87" s="71"/>
      <c r="P87" s="71"/>
      <c r="Q87" s="71"/>
      <c r="R87" s="71"/>
      <c r="S87" s="71"/>
    </row>
    <row r="88" spans="1:19" ht="15">
      <c r="A88" s="112">
        <v>3</v>
      </c>
      <c r="B88" s="113">
        <f t="shared" si="20"/>
        <v>33</v>
      </c>
      <c r="C88" s="114">
        <v>0</v>
      </c>
      <c r="D88" s="105">
        <f t="shared" si="29"/>
        <v>40</v>
      </c>
      <c r="E88" s="115">
        <f t="shared" si="21"/>
        <v>0.091</v>
      </c>
      <c r="F88" s="113">
        <f t="shared" si="22"/>
        <v>2.812</v>
      </c>
      <c r="G88" s="116">
        <f t="shared" si="23"/>
        <v>586.1</v>
      </c>
      <c r="H88" s="117">
        <f t="shared" si="24"/>
        <v>242.99336650082918</v>
      </c>
      <c r="I88" s="113">
        <f t="shared" si="25"/>
        <v>134</v>
      </c>
      <c r="J88" s="116">
        <f t="shared" si="26"/>
        <v>832.14</v>
      </c>
      <c r="K88" s="113">
        <f t="shared" si="27"/>
        <v>345</v>
      </c>
      <c r="L88" s="118" t="str">
        <f t="shared" si="28"/>
        <v>Net Section will Fracture</v>
      </c>
      <c r="M88" s="71"/>
      <c r="N88" s="71"/>
      <c r="O88" s="71"/>
      <c r="P88" s="71"/>
      <c r="Q88" s="71"/>
      <c r="R88" s="71"/>
      <c r="S88" s="71"/>
    </row>
    <row r="89" spans="1:19" ht="15">
      <c r="A89" s="112">
        <v>3.5</v>
      </c>
      <c r="B89" s="113">
        <f t="shared" si="20"/>
        <v>33.5</v>
      </c>
      <c r="C89" s="114">
        <v>0</v>
      </c>
      <c r="D89" s="105">
        <f t="shared" si="29"/>
        <v>40</v>
      </c>
      <c r="E89" s="115">
        <f t="shared" si="21"/>
        <v>0.104</v>
      </c>
      <c r="F89" s="113">
        <f t="shared" si="22"/>
        <v>2.743</v>
      </c>
      <c r="G89" s="116">
        <f t="shared" si="23"/>
        <v>556.27</v>
      </c>
      <c r="H89" s="117">
        <f t="shared" si="24"/>
        <v>232.36006683375103</v>
      </c>
      <c r="I89" s="113">
        <f t="shared" si="25"/>
        <v>133</v>
      </c>
      <c r="J89" s="116">
        <f t="shared" si="26"/>
        <v>825.93</v>
      </c>
      <c r="K89" s="113">
        <f t="shared" si="27"/>
        <v>345</v>
      </c>
      <c r="L89" s="118" t="str">
        <f t="shared" si="28"/>
        <v>Net Section will Fracture</v>
      </c>
      <c r="M89" s="71"/>
      <c r="N89" s="71"/>
      <c r="O89" s="71"/>
      <c r="P89" s="71"/>
      <c r="Q89" s="71"/>
      <c r="R89" s="71"/>
      <c r="S89" s="71"/>
    </row>
    <row r="90" spans="1:19" ht="15">
      <c r="A90" s="112">
        <v>3.7</v>
      </c>
      <c r="B90" s="113">
        <f t="shared" si="20"/>
        <v>33.7</v>
      </c>
      <c r="C90" s="114">
        <v>0</v>
      </c>
      <c r="D90" s="105">
        <f t="shared" si="29"/>
        <v>40</v>
      </c>
      <c r="E90" s="115">
        <f t="shared" si="21"/>
        <v>0.11</v>
      </c>
      <c r="F90" s="113">
        <f t="shared" si="22"/>
        <v>2.711</v>
      </c>
      <c r="G90" s="116">
        <f t="shared" si="23"/>
        <v>547.41</v>
      </c>
      <c r="H90" s="117">
        <f t="shared" si="24"/>
        <v>229.3489190548014</v>
      </c>
      <c r="I90" s="113">
        <f t="shared" si="25"/>
        <v>132.6</v>
      </c>
      <c r="J90" s="116">
        <f t="shared" si="26"/>
        <v>823.4459999999999</v>
      </c>
      <c r="K90" s="113">
        <f t="shared" si="27"/>
        <v>344.99999999999994</v>
      </c>
      <c r="L90" s="118" t="str">
        <f t="shared" si="28"/>
        <v>Net Section will Fracture</v>
      </c>
      <c r="M90" s="71"/>
      <c r="N90" s="71"/>
      <c r="O90" s="71"/>
      <c r="P90" s="71"/>
      <c r="Q90" s="71"/>
      <c r="R90" s="71"/>
      <c r="S90" s="71"/>
    </row>
    <row r="91" spans="1:19" ht="15">
      <c r="A91" s="112">
        <v>5</v>
      </c>
      <c r="B91" s="113">
        <f t="shared" si="20"/>
        <v>35</v>
      </c>
      <c r="C91" s="114">
        <v>0</v>
      </c>
      <c r="D91" s="105">
        <f t="shared" si="29"/>
        <v>40</v>
      </c>
      <c r="E91" s="115">
        <f t="shared" si="21"/>
        <v>0.143</v>
      </c>
      <c r="F91" s="113">
        <f t="shared" si="22"/>
        <v>2.546</v>
      </c>
      <c r="G91" s="116">
        <f t="shared" si="23"/>
        <v>501.42</v>
      </c>
      <c r="H91" s="117">
        <f t="shared" si="24"/>
        <v>214.28205128205127</v>
      </c>
      <c r="I91" s="113">
        <f t="shared" si="25"/>
        <v>130</v>
      </c>
      <c r="J91" s="116">
        <f t="shared" si="26"/>
        <v>807.3</v>
      </c>
      <c r="K91" s="113">
        <f t="shared" si="27"/>
        <v>345</v>
      </c>
      <c r="L91" s="118" t="str">
        <f t="shared" si="28"/>
        <v>Net Section will Fracture</v>
      </c>
      <c r="M91" s="71"/>
      <c r="N91" s="71"/>
      <c r="O91" s="71"/>
      <c r="P91" s="71"/>
      <c r="Q91" s="71"/>
      <c r="R91" s="71"/>
      <c r="S91" s="71"/>
    </row>
    <row r="92" spans="1:19" ht="15">
      <c r="A92" s="112">
        <v>6</v>
      </c>
      <c r="B92" s="113">
        <f t="shared" si="20"/>
        <v>36</v>
      </c>
      <c r="C92" s="114">
        <v>0</v>
      </c>
      <c r="D92" s="105">
        <f t="shared" si="29"/>
        <v>40</v>
      </c>
      <c r="E92" s="115">
        <f t="shared" si="21"/>
        <v>0.167</v>
      </c>
      <c r="F92" s="113">
        <f t="shared" si="22"/>
        <v>2.434</v>
      </c>
      <c r="G92" s="116">
        <f t="shared" si="23"/>
        <v>478.79</v>
      </c>
      <c r="H92" s="117">
        <f t="shared" si="24"/>
        <v>207.80815972222223</v>
      </c>
      <c r="I92" s="113">
        <f t="shared" si="25"/>
        <v>128</v>
      </c>
      <c r="J92" s="116">
        <f t="shared" si="26"/>
        <v>794.88</v>
      </c>
      <c r="K92" s="113">
        <f t="shared" si="27"/>
        <v>345</v>
      </c>
      <c r="L92" s="118" t="str">
        <f t="shared" si="28"/>
        <v>Net Section will Fracture</v>
      </c>
      <c r="M92" s="71"/>
      <c r="N92" s="71"/>
      <c r="O92" s="71"/>
      <c r="P92" s="71"/>
      <c r="Q92" s="71"/>
      <c r="R92" s="71"/>
      <c r="S92" s="71"/>
    </row>
    <row r="93" spans="1:19" ht="15">
      <c r="A93" s="112">
        <v>7</v>
      </c>
      <c r="B93" s="113">
        <f t="shared" si="20"/>
        <v>37</v>
      </c>
      <c r="C93" s="114">
        <v>0</v>
      </c>
      <c r="D93" s="105">
        <f t="shared" si="29"/>
        <v>40</v>
      </c>
      <c r="E93" s="115">
        <f t="shared" si="21"/>
        <v>0.189</v>
      </c>
      <c r="F93" s="113">
        <f t="shared" si="22"/>
        <v>2.337</v>
      </c>
      <c r="G93" s="116">
        <f t="shared" si="23"/>
        <v>461.68</v>
      </c>
      <c r="H93" s="117">
        <f t="shared" si="24"/>
        <v>203.56261022927688</v>
      </c>
      <c r="I93" s="113">
        <f t="shared" si="25"/>
        <v>126</v>
      </c>
      <c r="J93" s="116">
        <f t="shared" si="26"/>
        <v>782.46</v>
      </c>
      <c r="K93" s="113">
        <f t="shared" si="27"/>
        <v>345</v>
      </c>
      <c r="L93" s="118" t="str">
        <f t="shared" si="28"/>
        <v>Net Section will Fracture</v>
      </c>
      <c r="M93" s="71"/>
      <c r="N93" s="71"/>
      <c r="O93" s="71"/>
      <c r="P93" s="71"/>
      <c r="Q93" s="71"/>
      <c r="R93" s="71"/>
      <c r="S93" s="71"/>
    </row>
    <row r="94" spans="1:19" ht="15">
      <c r="A94" s="112">
        <v>8</v>
      </c>
      <c r="B94" s="113">
        <f t="shared" si="20"/>
        <v>38</v>
      </c>
      <c r="C94" s="114">
        <v>0</v>
      </c>
      <c r="D94" s="105">
        <f t="shared" si="29"/>
        <v>40</v>
      </c>
      <c r="E94" s="115">
        <f t="shared" si="21"/>
        <v>0.211</v>
      </c>
      <c r="F94" s="113">
        <f t="shared" si="22"/>
        <v>2.246</v>
      </c>
      <c r="G94" s="116">
        <f t="shared" si="23"/>
        <v>449.36</v>
      </c>
      <c r="H94" s="117">
        <f t="shared" si="24"/>
        <v>201.32616487455198</v>
      </c>
      <c r="I94" s="113">
        <f t="shared" si="25"/>
        <v>124</v>
      </c>
      <c r="J94" s="116">
        <f t="shared" si="26"/>
        <v>770.04</v>
      </c>
      <c r="K94" s="113">
        <f t="shared" si="27"/>
        <v>345</v>
      </c>
      <c r="L94" s="118" t="str">
        <f t="shared" si="28"/>
        <v>Net Section will Fracture</v>
      </c>
      <c r="M94" s="71"/>
      <c r="N94" s="71"/>
      <c r="O94" s="71"/>
      <c r="P94" s="71"/>
      <c r="Q94" s="71"/>
      <c r="R94" s="71"/>
      <c r="S94" s="71"/>
    </row>
    <row r="95" spans="1:19" ht="15">
      <c r="A95" s="112">
        <v>9</v>
      </c>
      <c r="B95" s="113">
        <f t="shared" si="20"/>
        <v>39</v>
      </c>
      <c r="C95" s="114">
        <v>0</v>
      </c>
      <c r="D95" s="105">
        <f t="shared" si="29"/>
        <v>40</v>
      </c>
      <c r="E95" s="115">
        <f t="shared" si="21"/>
        <v>0.231</v>
      </c>
      <c r="F95" s="113">
        <f t="shared" si="22"/>
        <v>2.167</v>
      </c>
      <c r="G95" s="116">
        <f t="shared" si="23"/>
        <v>439.1</v>
      </c>
      <c r="H95" s="117">
        <f t="shared" si="24"/>
        <v>199.95446265938068</v>
      </c>
      <c r="I95" s="113">
        <f t="shared" si="25"/>
        <v>122</v>
      </c>
      <c r="J95" s="116">
        <f t="shared" si="26"/>
        <v>757.62</v>
      </c>
      <c r="K95" s="113">
        <f t="shared" si="27"/>
        <v>345</v>
      </c>
      <c r="L95" s="118" t="str">
        <f t="shared" si="28"/>
        <v>Net Section will Fracture</v>
      </c>
      <c r="M95" s="71"/>
      <c r="N95" s="71"/>
      <c r="O95" s="71"/>
      <c r="P95" s="71"/>
      <c r="Q95" s="71"/>
      <c r="R95" s="71"/>
      <c r="S95" s="71"/>
    </row>
    <row r="96" spans="1:19" ht="15">
      <c r="A96" s="119">
        <v>10</v>
      </c>
      <c r="B96" s="120">
        <f t="shared" si="20"/>
        <v>40</v>
      </c>
      <c r="C96" s="121">
        <v>0</v>
      </c>
      <c r="D96" s="105">
        <f t="shared" si="29"/>
        <v>40</v>
      </c>
      <c r="E96" s="122">
        <f t="shared" si="21"/>
        <v>0.25</v>
      </c>
      <c r="F96" s="120">
        <f t="shared" si="22"/>
        <v>2.096</v>
      </c>
      <c r="G96" s="123">
        <f t="shared" si="23"/>
        <v>430.68</v>
      </c>
      <c r="H96" s="124">
        <f t="shared" si="24"/>
        <v>199.38888888888889</v>
      </c>
      <c r="I96" s="120">
        <f t="shared" si="25"/>
        <v>120</v>
      </c>
      <c r="J96" s="123">
        <f t="shared" si="26"/>
        <v>745.2</v>
      </c>
      <c r="K96" s="120">
        <f t="shared" si="27"/>
        <v>345</v>
      </c>
      <c r="L96" s="125" t="str">
        <f t="shared" si="28"/>
        <v>Net Section will Fracture</v>
      </c>
      <c r="M96" s="71"/>
      <c r="N96" s="71"/>
      <c r="O96" s="71"/>
      <c r="P96" s="71"/>
      <c r="Q96" s="71"/>
      <c r="R96" s="71"/>
      <c r="S96" s="71"/>
    </row>
    <row r="97" spans="1:19" ht="15">
      <c r="A97" s="71"/>
      <c r="B97" s="71"/>
      <c r="C97" s="71"/>
      <c r="D97" s="71"/>
      <c r="E97" s="71"/>
      <c r="F97" s="71"/>
      <c r="G97" s="73"/>
      <c r="H97" s="73"/>
      <c r="I97" s="71"/>
      <c r="J97" s="73"/>
      <c r="K97" s="71"/>
      <c r="L97" s="71"/>
      <c r="M97" s="71"/>
      <c r="N97" s="71"/>
      <c r="O97" s="71"/>
      <c r="P97" s="71"/>
      <c r="Q97" s="71"/>
      <c r="R97" s="71"/>
      <c r="S97" s="71"/>
    </row>
    <row r="98" spans="1:19" ht="15">
      <c r="A98" s="71"/>
      <c r="B98" s="71"/>
      <c r="C98" s="71"/>
      <c r="D98" s="71"/>
      <c r="E98" s="71"/>
      <c r="F98" s="71"/>
      <c r="G98" s="73"/>
      <c r="H98" s="73"/>
      <c r="I98" s="71"/>
      <c r="J98" s="73"/>
      <c r="K98" s="71"/>
      <c r="L98" s="71"/>
      <c r="M98" s="71"/>
      <c r="N98" s="71"/>
      <c r="O98" s="71"/>
      <c r="P98" s="71"/>
      <c r="Q98" s="71"/>
      <c r="R98" s="71"/>
      <c r="S98" s="71"/>
    </row>
    <row r="99" spans="1:19" ht="15">
      <c r="A99" s="71"/>
      <c r="B99" s="71"/>
      <c r="C99" s="71"/>
      <c r="D99" s="71"/>
      <c r="E99" s="71"/>
      <c r="F99" s="71"/>
      <c r="G99" s="73"/>
      <c r="H99" s="73"/>
      <c r="I99" s="71"/>
      <c r="J99" s="73"/>
      <c r="K99" s="71"/>
      <c r="L99" s="71"/>
      <c r="M99" s="71"/>
      <c r="N99" s="71"/>
      <c r="O99" s="71"/>
      <c r="P99" s="71"/>
      <c r="Q99" s="71"/>
      <c r="R99" s="71"/>
      <c r="S99" s="71"/>
    </row>
    <row r="100" spans="1:19" ht="26.25">
      <c r="A100" s="93" t="s">
        <v>58</v>
      </c>
      <c r="B100" s="93"/>
      <c r="C100" s="93"/>
      <c r="D100" s="94"/>
      <c r="E100" s="93"/>
      <c r="F100" s="93"/>
      <c r="G100" s="129" t="s">
        <v>40</v>
      </c>
      <c r="H100" s="130"/>
      <c r="I100" s="93"/>
      <c r="J100" s="95" t="s">
        <v>41</v>
      </c>
      <c r="K100" s="93"/>
      <c r="L100" s="93"/>
      <c r="M100" s="71"/>
      <c r="N100" s="71"/>
      <c r="O100" s="71"/>
      <c r="P100" s="71"/>
      <c r="Q100" s="71"/>
      <c r="R100" s="71"/>
      <c r="S100" s="71"/>
    </row>
    <row r="101" spans="1:19" ht="54" customHeight="1">
      <c r="A101" s="96" t="s">
        <v>38</v>
      </c>
      <c r="B101" s="97" t="s">
        <v>65</v>
      </c>
      <c r="C101" s="96" t="s">
        <v>37</v>
      </c>
      <c r="D101" s="98" t="s">
        <v>66</v>
      </c>
      <c r="E101" s="99" t="s">
        <v>67</v>
      </c>
      <c r="F101" s="99" t="s">
        <v>53</v>
      </c>
      <c r="G101" s="100" t="s">
        <v>62</v>
      </c>
      <c r="H101" s="101" t="s">
        <v>50</v>
      </c>
      <c r="I101" s="96" t="s">
        <v>42</v>
      </c>
      <c r="J101" s="100" t="s">
        <v>63</v>
      </c>
      <c r="K101" s="102" t="s">
        <v>51</v>
      </c>
      <c r="L101" s="103"/>
      <c r="M101" s="71"/>
      <c r="N101" s="71"/>
      <c r="O101" s="71"/>
      <c r="P101" s="71"/>
      <c r="Q101" s="71"/>
      <c r="R101" s="71"/>
      <c r="S101" s="71"/>
    </row>
    <row r="102" spans="1:19" ht="15">
      <c r="A102" s="104">
        <v>1</v>
      </c>
      <c r="B102" s="105">
        <f aca="true" t="shared" si="30" ref="B102:B114">($F$7/2+$A102)</f>
        <v>31</v>
      </c>
      <c r="C102" s="106">
        <v>-15</v>
      </c>
      <c r="D102" s="105">
        <f>40+0.2*C102</f>
        <v>37</v>
      </c>
      <c r="E102" s="107">
        <f aca="true" t="shared" si="31" ref="E102:E114">ROUND($A102/($F$7/2+$A102),3)</f>
        <v>0.032</v>
      </c>
      <c r="F102" s="105">
        <f aca="true" t="shared" si="32" ref="F102:F114">ROUND(0.5*(3-E102)*(1+1.243*(1-E102)^3),3)</f>
        <v>3.157</v>
      </c>
      <c r="G102" s="108">
        <f aca="true" t="shared" si="33" ref="G102:G114">ROUND($D102/($F102*$G$37*SQRT(PI()*$A102/1000))/1000,2)</f>
        <v>836.4</v>
      </c>
      <c r="H102" s="109">
        <f aca="true" t="shared" si="34" ref="H102:H114">G102*1000/(I102*$F$4*0.9)</f>
        <v>336.7149758454106</v>
      </c>
      <c r="I102" s="105">
        <f aca="true" t="shared" si="35" ref="I102:I114">$F$5-$F$7-2*$A102</f>
        <v>138</v>
      </c>
      <c r="J102" s="108">
        <f aca="true" t="shared" si="36" ref="J102:J114">0.9*$E$24*$I102*$F$4/1000</f>
        <v>856.98</v>
      </c>
      <c r="K102" s="105">
        <f aca="true" t="shared" si="37" ref="K102:K114">J102*1000/(0.9*$I102*$F$4)</f>
        <v>345</v>
      </c>
      <c r="L102" s="110" t="str">
        <f aca="true" t="shared" si="38" ref="L102:L114">IF($H102&gt;$K102,"Net Section will Yeild before Fracture","Net Section will Fracture")</f>
        <v>Net Section will Fracture</v>
      </c>
      <c r="M102" s="71"/>
      <c r="N102" s="71"/>
      <c r="O102" s="71"/>
      <c r="P102" s="71"/>
      <c r="Q102" s="71"/>
      <c r="R102" s="71"/>
      <c r="S102" s="71"/>
    </row>
    <row r="103" spans="1:19" ht="15">
      <c r="A103" s="112">
        <v>1.5</v>
      </c>
      <c r="B103" s="113">
        <f t="shared" si="30"/>
        <v>31.5</v>
      </c>
      <c r="C103" s="114">
        <v>-15</v>
      </c>
      <c r="D103" s="105">
        <f aca="true" t="shared" si="39" ref="D103:D114">40+0.2*C103</f>
        <v>37</v>
      </c>
      <c r="E103" s="115">
        <f t="shared" si="31"/>
        <v>0.048</v>
      </c>
      <c r="F103" s="113">
        <f t="shared" si="32"/>
        <v>3.059</v>
      </c>
      <c r="G103" s="116">
        <f t="shared" si="33"/>
        <v>704.79</v>
      </c>
      <c r="H103" s="117">
        <f t="shared" si="34"/>
        <v>285.8029197080292</v>
      </c>
      <c r="I103" s="113">
        <f t="shared" si="35"/>
        <v>137</v>
      </c>
      <c r="J103" s="116">
        <f t="shared" si="36"/>
        <v>850.77</v>
      </c>
      <c r="K103" s="113">
        <f t="shared" si="37"/>
        <v>345</v>
      </c>
      <c r="L103" s="118" t="str">
        <f t="shared" si="38"/>
        <v>Net Section will Fracture</v>
      </c>
      <c r="M103" s="71"/>
      <c r="N103" s="71"/>
      <c r="O103" s="71"/>
      <c r="P103" s="71"/>
      <c r="Q103" s="71"/>
      <c r="R103" s="71"/>
      <c r="S103" s="71"/>
    </row>
    <row r="104" spans="1:19" ht="15">
      <c r="A104" s="112">
        <v>2</v>
      </c>
      <c r="B104" s="113">
        <f t="shared" si="30"/>
        <v>32</v>
      </c>
      <c r="C104" s="114">
        <v>-15</v>
      </c>
      <c r="D104" s="105">
        <f t="shared" si="39"/>
        <v>37</v>
      </c>
      <c r="E104" s="115">
        <f t="shared" si="31"/>
        <v>0.063</v>
      </c>
      <c r="F104" s="113">
        <f t="shared" si="32"/>
        <v>2.97</v>
      </c>
      <c r="G104" s="116">
        <f t="shared" si="33"/>
        <v>628.66</v>
      </c>
      <c r="H104" s="117">
        <f t="shared" si="34"/>
        <v>256.80555555555554</v>
      </c>
      <c r="I104" s="113">
        <f t="shared" si="35"/>
        <v>136</v>
      </c>
      <c r="J104" s="116">
        <f t="shared" si="36"/>
        <v>844.56</v>
      </c>
      <c r="K104" s="113">
        <f t="shared" si="37"/>
        <v>345</v>
      </c>
      <c r="L104" s="118" t="str">
        <f t="shared" si="38"/>
        <v>Net Section will Fracture</v>
      </c>
      <c r="M104" s="71"/>
      <c r="N104" s="71"/>
      <c r="O104" s="71"/>
      <c r="P104" s="71"/>
      <c r="Q104" s="71"/>
      <c r="R104" s="71"/>
      <c r="S104" s="71"/>
    </row>
    <row r="105" spans="1:19" ht="15">
      <c r="A105" s="112">
        <v>2.5</v>
      </c>
      <c r="B105" s="113">
        <f t="shared" si="30"/>
        <v>32.5</v>
      </c>
      <c r="C105" s="114">
        <v>-15</v>
      </c>
      <c r="D105" s="105">
        <f t="shared" si="39"/>
        <v>37</v>
      </c>
      <c r="E105" s="115">
        <f t="shared" si="31"/>
        <v>0.077</v>
      </c>
      <c r="F105" s="113">
        <f t="shared" si="32"/>
        <v>2.89</v>
      </c>
      <c r="G105" s="116">
        <f t="shared" si="33"/>
        <v>577.86</v>
      </c>
      <c r="H105" s="117">
        <f t="shared" si="34"/>
        <v>237.80246913580248</v>
      </c>
      <c r="I105" s="113">
        <f t="shared" si="35"/>
        <v>135</v>
      </c>
      <c r="J105" s="116">
        <f t="shared" si="36"/>
        <v>838.35</v>
      </c>
      <c r="K105" s="113">
        <f t="shared" si="37"/>
        <v>345</v>
      </c>
      <c r="L105" s="118" t="str">
        <f t="shared" si="38"/>
        <v>Net Section will Fracture</v>
      </c>
      <c r="M105" s="71"/>
      <c r="N105" s="71"/>
      <c r="O105" s="71"/>
      <c r="P105" s="71"/>
      <c r="Q105" s="71"/>
      <c r="R105" s="71"/>
      <c r="S105" s="71"/>
    </row>
    <row r="106" spans="1:19" ht="15">
      <c r="A106" s="112">
        <v>3</v>
      </c>
      <c r="B106" s="113">
        <f t="shared" si="30"/>
        <v>33</v>
      </c>
      <c r="C106" s="114">
        <v>-15</v>
      </c>
      <c r="D106" s="105">
        <f t="shared" si="39"/>
        <v>37</v>
      </c>
      <c r="E106" s="115">
        <f t="shared" si="31"/>
        <v>0.091</v>
      </c>
      <c r="F106" s="113">
        <f t="shared" si="32"/>
        <v>2.812</v>
      </c>
      <c r="G106" s="116">
        <f t="shared" si="33"/>
        <v>542.14</v>
      </c>
      <c r="H106" s="117">
        <f t="shared" si="34"/>
        <v>224.76782752902156</v>
      </c>
      <c r="I106" s="113">
        <f t="shared" si="35"/>
        <v>134</v>
      </c>
      <c r="J106" s="116">
        <f t="shared" si="36"/>
        <v>832.14</v>
      </c>
      <c r="K106" s="113">
        <f t="shared" si="37"/>
        <v>345</v>
      </c>
      <c r="L106" s="118" t="str">
        <f t="shared" si="38"/>
        <v>Net Section will Fracture</v>
      </c>
      <c r="M106" s="71"/>
      <c r="N106" s="71"/>
      <c r="O106" s="71"/>
      <c r="P106" s="71"/>
      <c r="Q106" s="71"/>
      <c r="R106" s="71"/>
      <c r="S106" s="71"/>
    </row>
    <row r="107" spans="1:19" ht="15">
      <c r="A107" s="112">
        <v>3.1</v>
      </c>
      <c r="B107" s="113">
        <f t="shared" si="30"/>
        <v>33.1</v>
      </c>
      <c r="C107" s="114">
        <v>-15</v>
      </c>
      <c r="D107" s="105">
        <f t="shared" si="39"/>
        <v>37</v>
      </c>
      <c r="E107" s="115">
        <f t="shared" si="31"/>
        <v>0.094</v>
      </c>
      <c r="F107" s="113">
        <f t="shared" si="32"/>
        <v>2.796</v>
      </c>
      <c r="G107" s="116">
        <f t="shared" si="33"/>
        <v>536.38</v>
      </c>
      <c r="H107" s="117">
        <f t="shared" si="34"/>
        <v>222.71217405746552</v>
      </c>
      <c r="I107" s="113">
        <f t="shared" si="35"/>
        <v>133.8</v>
      </c>
      <c r="J107" s="116">
        <f t="shared" si="36"/>
        <v>830.898</v>
      </c>
      <c r="K107" s="113">
        <f t="shared" si="37"/>
        <v>344.99999999999994</v>
      </c>
      <c r="L107" s="118" t="str">
        <f t="shared" si="38"/>
        <v>Net Section will Fracture</v>
      </c>
      <c r="M107" s="71"/>
      <c r="N107" s="71"/>
      <c r="O107" s="71"/>
      <c r="P107" s="71"/>
      <c r="Q107" s="71"/>
      <c r="R107" s="71"/>
      <c r="S107" s="71"/>
    </row>
    <row r="108" spans="1:19" ht="15">
      <c r="A108" s="112">
        <v>4</v>
      </c>
      <c r="B108" s="113">
        <f t="shared" si="30"/>
        <v>34</v>
      </c>
      <c r="C108" s="114">
        <v>-15</v>
      </c>
      <c r="D108" s="105">
        <f t="shared" si="39"/>
        <v>37</v>
      </c>
      <c r="E108" s="115">
        <f t="shared" si="31"/>
        <v>0.118</v>
      </c>
      <c r="F108" s="113">
        <f t="shared" si="32"/>
        <v>2.67</v>
      </c>
      <c r="G108" s="116">
        <f t="shared" si="33"/>
        <v>494.48</v>
      </c>
      <c r="H108" s="117">
        <f t="shared" si="34"/>
        <v>208.11447811447812</v>
      </c>
      <c r="I108" s="113">
        <f t="shared" si="35"/>
        <v>132</v>
      </c>
      <c r="J108" s="116">
        <f t="shared" si="36"/>
        <v>819.72</v>
      </c>
      <c r="K108" s="113">
        <f t="shared" si="37"/>
        <v>345</v>
      </c>
      <c r="L108" s="118" t="str">
        <f t="shared" si="38"/>
        <v>Net Section will Fracture</v>
      </c>
      <c r="M108" s="71"/>
      <c r="N108" s="71"/>
      <c r="O108" s="71"/>
      <c r="P108" s="71"/>
      <c r="Q108" s="71"/>
      <c r="R108" s="71"/>
      <c r="S108" s="71"/>
    </row>
    <row r="109" spans="1:19" ht="15">
      <c r="A109" s="112">
        <v>5</v>
      </c>
      <c r="B109" s="113">
        <f t="shared" si="30"/>
        <v>35</v>
      </c>
      <c r="C109" s="114">
        <v>-15</v>
      </c>
      <c r="D109" s="105">
        <f t="shared" si="39"/>
        <v>37</v>
      </c>
      <c r="E109" s="115">
        <f t="shared" si="31"/>
        <v>0.143</v>
      </c>
      <c r="F109" s="113">
        <f t="shared" si="32"/>
        <v>2.546</v>
      </c>
      <c r="G109" s="116">
        <f t="shared" si="33"/>
        <v>463.81</v>
      </c>
      <c r="H109" s="117">
        <f t="shared" si="34"/>
        <v>198.2094017094017</v>
      </c>
      <c r="I109" s="113">
        <f t="shared" si="35"/>
        <v>130</v>
      </c>
      <c r="J109" s="116">
        <f t="shared" si="36"/>
        <v>807.3</v>
      </c>
      <c r="K109" s="113">
        <f t="shared" si="37"/>
        <v>345</v>
      </c>
      <c r="L109" s="118" t="str">
        <f t="shared" si="38"/>
        <v>Net Section will Fracture</v>
      </c>
      <c r="M109" s="71"/>
      <c r="N109" s="71"/>
      <c r="O109" s="71"/>
      <c r="P109" s="71"/>
      <c r="Q109" s="71"/>
      <c r="R109" s="71"/>
      <c r="S109" s="71"/>
    </row>
    <row r="110" spans="1:19" ht="15">
      <c r="A110" s="112">
        <v>6</v>
      </c>
      <c r="B110" s="113">
        <f t="shared" si="30"/>
        <v>36</v>
      </c>
      <c r="C110" s="114">
        <v>-15</v>
      </c>
      <c r="D110" s="105">
        <f t="shared" si="39"/>
        <v>37</v>
      </c>
      <c r="E110" s="115">
        <f t="shared" si="31"/>
        <v>0.167</v>
      </c>
      <c r="F110" s="113">
        <f t="shared" si="32"/>
        <v>2.434</v>
      </c>
      <c r="G110" s="116">
        <f t="shared" si="33"/>
        <v>442.88</v>
      </c>
      <c r="H110" s="117">
        <f t="shared" si="34"/>
        <v>192.22222222222223</v>
      </c>
      <c r="I110" s="113">
        <f t="shared" si="35"/>
        <v>128</v>
      </c>
      <c r="J110" s="116">
        <f t="shared" si="36"/>
        <v>794.88</v>
      </c>
      <c r="K110" s="113">
        <f t="shared" si="37"/>
        <v>345</v>
      </c>
      <c r="L110" s="118" t="str">
        <f t="shared" si="38"/>
        <v>Net Section will Fracture</v>
      </c>
      <c r="M110" s="71"/>
      <c r="N110" s="71"/>
      <c r="O110" s="71"/>
      <c r="P110" s="71"/>
      <c r="Q110" s="71"/>
      <c r="R110" s="71"/>
      <c r="S110" s="71"/>
    </row>
    <row r="111" spans="1:19" ht="15">
      <c r="A111" s="112">
        <v>7</v>
      </c>
      <c r="B111" s="113">
        <f t="shared" si="30"/>
        <v>37</v>
      </c>
      <c r="C111" s="114">
        <v>-15</v>
      </c>
      <c r="D111" s="105">
        <f t="shared" si="39"/>
        <v>37</v>
      </c>
      <c r="E111" s="115">
        <f t="shared" si="31"/>
        <v>0.189</v>
      </c>
      <c r="F111" s="113">
        <f t="shared" si="32"/>
        <v>2.337</v>
      </c>
      <c r="G111" s="116">
        <f t="shared" si="33"/>
        <v>427.05</v>
      </c>
      <c r="H111" s="117">
        <f t="shared" si="34"/>
        <v>188.29365079365078</v>
      </c>
      <c r="I111" s="113">
        <f t="shared" si="35"/>
        <v>126</v>
      </c>
      <c r="J111" s="116">
        <f t="shared" si="36"/>
        <v>782.46</v>
      </c>
      <c r="K111" s="113">
        <f t="shared" si="37"/>
        <v>345</v>
      </c>
      <c r="L111" s="118" t="str">
        <f t="shared" si="38"/>
        <v>Net Section will Fracture</v>
      </c>
      <c r="M111" s="71"/>
      <c r="N111" s="71"/>
      <c r="O111" s="71"/>
      <c r="P111" s="71"/>
      <c r="Q111" s="71"/>
      <c r="R111" s="71"/>
      <c r="S111" s="71"/>
    </row>
    <row r="112" spans="1:19" ht="15">
      <c r="A112" s="112">
        <v>8</v>
      </c>
      <c r="B112" s="113">
        <f t="shared" si="30"/>
        <v>38</v>
      </c>
      <c r="C112" s="114">
        <v>-15</v>
      </c>
      <c r="D112" s="105">
        <f t="shared" si="39"/>
        <v>37</v>
      </c>
      <c r="E112" s="115">
        <f t="shared" si="31"/>
        <v>0.211</v>
      </c>
      <c r="F112" s="113">
        <f t="shared" si="32"/>
        <v>2.246</v>
      </c>
      <c r="G112" s="116">
        <f t="shared" si="33"/>
        <v>415.65</v>
      </c>
      <c r="H112" s="117">
        <f t="shared" si="34"/>
        <v>186.2231182795699</v>
      </c>
      <c r="I112" s="113">
        <f t="shared" si="35"/>
        <v>124</v>
      </c>
      <c r="J112" s="116">
        <f t="shared" si="36"/>
        <v>770.04</v>
      </c>
      <c r="K112" s="113">
        <f t="shared" si="37"/>
        <v>345</v>
      </c>
      <c r="L112" s="118" t="str">
        <f t="shared" si="38"/>
        <v>Net Section will Fracture</v>
      </c>
      <c r="M112" s="71"/>
      <c r="N112" s="71"/>
      <c r="O112" s="71"/>
      <c r="P112" s="71"/>
      <c r="Q112" s="71"/>
      <c r="R112" s="71"/>
      <c r="S112" s="71"/>
    </row>
    <row r="113" spans="1:19" ht="15">
      <c r="A113" s="112">
        <v>9</v>
      </c>
      <c r="B113" s="113">
        <f t="shared" si="30"/>
        <v>39</v>
      </c>
      <c r="C113" s="114">
        <v>-15</v>
      </c>
      <c r="D113" s="105">
        <f t="shared" si="39"/>
        <v>37</v>
      </c>
      <c r="E113" s="115">
        <f t="shared" si="31"/>
        <v>0.231</v>
      </c>
      <c r="F113" s="113">
        <f t="shared" si="32"/>
        <v>2.167</v>
      </c>
      <c r="G113" s="116">
        <f t="shared" si="33"/>
        <v>406.17</v>
      </c>
      <c r="H113" s="117">
        <f t="shared" si="34"/>
        <v>184.95901639344262</v>
      </c>
      <c r="I113" s="113">
        <f t="shared" si="35"/>
        <v>122</v>
      </c>
      <c r="J113" s="116">
        <f t="shared" si="36"/>
        <v>757.62</v>
      </c>
      <c r="K113" s="113">
        <f t="shared" si="37"/>
        <v>345</v>
      </c>
      <c r="L113" s="118" t="str">
        <f t="shared" si="38"/>
        <v>Net Section will Fracture</v>
      </c>
      <c r="M113" s="71"/>
      <c r="N113" s="71"/>
      <c r="O113" s="71"/>
      <c r="P113" s="71"/>
      <c r="Q113" s="71"/>
      <c r="R113" s="71"/>
      <c r="S113" s="71"/>
    </row>
    <row r="114" spans="1:19" ht="15">
      <c r="A114" s="119">
        <v>10</v>
      </c>
      <c r="B114" s="120">
        <f t="shared" si="30"/>
        <v>40</v>
      </c>
      <c r="C114" s="121">
        <v>-15</v>
      </c>
      <c r="D114" s="105">
        <f t="shared" si="39"/>
        <v>37</v>
      </c>
      <c r="E114" s="122">
        <f t="shared" si="31"/>
        <v>0.25</v>
      </c>
      <c r="F114" s="120">
        <f t="shared" si="32"/>
        <v>2.096</v>
      </c>
      <c r="G114" s="123">
        <f t="shared" si="33"/>
        <v>398.38</v>
      </c>
      <c r="H114" s="124">
        <f t="shared" si="34"/>
        <v>184.4351851851852</v>
      </c>
      <c r="I114" s="120">
        <f t="shared" si="35"/>
        <v>120</v>
      </c>
      <c r="J114" s="123">
        <f t="shared" si="36"/>
        <v>745.2</v>
      </c>
      <c r="K114" s="120">
        <f t="shared" si="37"/>
        <v>345</v>
      </c>
      <c r="L114" s="125" t="str">
        <f t="shared" si="38"/>
        <v>Net Section will Fracture</v>
      </c>
      <c r="M114" s="71"/>
      <c r="N114" s="71"/>
      <c r="O114" s="71"/>
      <c r="P114" s="71"/>
      <c r="Q114" s="71"/>
      <c r="R114" s="71"/>
      <c r="S114" s="71"/>
    </row>
    <row r="115" spans="1:19" ht="15">
      <c r="A115" s="71"/>
      <c r="B115" s="71"/>
      <c r="C115" s="71"/>
      <c r="D115" s="71"/>
      <c r="E115" s="71"/>
      <c r="F115" s="71"/>
      <c r="G115" s="73"/>
      <c r="H115" s="73"/>
      <c r="I115" s="71"/>
      <c r="J115" s="73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1:19" ht="15">
      <c r="A116" s="71"/>
      <c r="B116" s="71"/>
      <c r="C116" s="71"/>
      <c r="D116" s="71"/>
      <c r="E116" s="71"/>
      <c r="F116" s="71"/>
      <c r="G116" s="73"/>
      <c r="H116" s="73"/>
      <c r="I116" s="71"/>
      <c r="J116" s="73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1:19" ht="15">
      <c r="A117" s="71"/>
      <c r="B117" s="71"/>
      <c r="C117" s="71"/>
      <c r="D117" s="71"/>
      <c r="E117" s="71"/>
      <c r="F117" s="71"/>
      <c r="G117" s="73"/>
      <c r="H117" s="73"/>
      <c r="I117" s="71"/>
      <c r="J117" s="73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1:19" ht="26.25">
      <c r="A118" s="93" t="s">
        <v>59</v>
      </c>
      <c r="B118" s="93"/>
      <c r="C118" s="93"/>
      <c r="D118" s="94"/>
      <c r="E118" s="93"/>
      <c r="F118" s="93"/>
      <c r="G118" s="129" t="s">
        <v>40</v>
      </c>
      <c r="H118" s="130"/>
      <c r="I118" s="93"/>
      <c r="J118" s="95" t="s">
        <v>41</v>
      </c>
      <c r="K118" s="93"/>
      <c r="L118" s="93"/>
      <c r="M118" s="71"/>
      <c r="N118" s="71"/>
      <c r="O118" s="71"/>
      <c r="P118" s="71"/>
      <c r="Q118" s="71"/>
      <c r="R118" s="71"/>
      <c r="S118" s="71"/>
    </row>
    <row r="119" spans="1:19" ht="54" customHeight="1">
      <c r="A119" s="96" t="s">
        <v>38</v>
      </c>
      <c r="B119" s="97" t="s">
        <v>65</v>
      </c>
      <c r="C119" s="96" t="s">
        <v>37</v>
      </c>
      <c r="D119" s="98" t="s">
        <v>66</v>
      </c>
      <c r="E119" s="99" t="s">
        <v>67</v>
      </c>
      <c r="F119" s="99" t="s">
        <v>53</v>
      </c>
      <c r="G119" s="100" t="s">
        <v>62</v>
      </c>
      <c r="H119" s="101" t="s">
        <v>50</v>
      </c>
      <c r="I119" s="96" t="s">
        <v>42</v>
      </c>
      <c r="J119" s="100" t="s">
        <v>63</v>
      </c>
      <c r="K119" s="102" t="s">
        <v>51</v>
      </c>
      <c r="L119" s="103"/>
      <c r="M119" s="71"/>
      <c r="N119" s="71"/>
      <c r="O119" s="71"/>
      <c r="P119" s="71"/>
      <c r="Q119" s="71"/>
      <c r="R119" s="71"/>
      <c r="S119" s="71"/>
    </row>
    <row r="120" spans="1:19" ht="15">
      <c r="A120" s="104">
        <v>1</v>
      </c>
      <c r="B120" s="105">
        <f aca="true" t="shared" si="40" ref="B120:B132">($F$7/2+$A120)</f>
        <v>31</v>
      </c>
      <c r="C120" s="106">
        <v>-30</v>
      </c>
      <c r="D120" s="105">
        <f>40+0.2*C120</f>
        <v>34</v>
      </c>
      <c r="E120" s="107">
        <f aca="true" t="shared" si="41" ref="E120:E132">ROUND($A120/($F$7/2+$A120),3)</f>
        <v>0.032</v>
      </c>
      <c r="F120" s="105">
        <f aca="true" t="shared" si="42" ref="F120:F132">ROUND(0.5*(3-E120)*(1+1.243*(1-E120)^3),3)</f>
        <v>3.157</v>
      </c>
      <c r="G120" s="108">
        <f aca="true" t="shared" si="43" ref="G120:G132">ROUND($D120/($F120*$G$37*SQRT(PI()*$A120/1000))/1000,2)</f>
        <v>768.58</v>
      </c>
      <c r="H120" s="109">
        <f aca="true" t="shared" si="44" ref="H120:H132">G120*1000/(I120*$F$4*0.9)</f>
        <v>309.4122383252818</v>
      </c>
      <c r="I120" s="105">
        <f aca="true" t="shared" si="45" ref="I120:I132">$F$5-$F$7-2*$A120</f>
        <v>138</v>
      </c>
      <c r="J120" s="108">
        <f aca="true" t="shared" si="46" ref="J120:J132">0.9*$E$24*$I120*$F$4/1000</f>
        <v>856.98</v>
      </c>
      <c r="K120" s="105">
        <f aca="true" t="shared" si="47" ref="K120:K132">J120*1000/(0.9*$I120*$F$4)</f>
        <v>345</v>
      </c>
      <c r="L120" s="110" t="str">
        <f aca="true" t="shared" si="48" ref="L120:L132">IF($H120&gt;$K120,"Net Section will Yeild before Fracture","Net Section will Fracture")</f>
        <v>Net Section will Fracture</v>
      </c>
      <c r="M120" s="71"/>
      <c r="N120" s="71"/>
      <c r="O120" s="71"/>
      <c r="P120" s="71"/>
      <c r="Q120" s="71"/>
      <c r="R120" s="71"/>
      <c r="S120" s="71"/>
    </row>
    <row r="121" spans="1:19" ht="15">
      <c r="A121" s="112">
        <v>1.5</v>
      </c>
      <c r="B121" s="113">
        <f t="shared" si="40"/>
        <v>31.5</v>
      </c>
      <c r="C121" s="114">
        <v>-30</v>
      </c>
      <c r="D121" s="105">
        <f aca="true" t="shared" si="49" ref="D121:D132">40+0.2*C121</f>
        <v>34</v>
      </c>
      <c r="E121" s="115">
        <f t="shared" si="41"/>
        <v>0.048</v>
      </c>
      <c r="F121" s="113">
        <f t="shared" si="42"/>
        <v>3.059</v>
      </c>
      <c r="G121" s="116">
        <f t="shared" si="43"/>
        <v>647.65</v>
      </c>
      <c r="H121" s="117">
        <f t="shared" si="44"/>
        <v>262.63179237631795</v>
      </c>
      <c r="I121" s="113">
        <f t="shared" si="45"/>
        <v>137</v>
      </c>
      <c r="J121" s="116">
        <f t="shared" si="46"/>
        <v>850.77</v>
      </c>
      <c r="K121" s="113">
        <f t="shared" si="47"/>
        <v>345</v>
      </c>
      <c r="L121" s="118" t="str">
        <f t="shared" si="48"/>
        <v>Net Section will Fracture</v>
      </c>
      <c r="M121" s="71"/>
      <c r="N121" s="71"/>
      <c r="O121" s="71"/>
      <c r="P121" s="71"/>
      <c r="Q121" s="71"/>
      <c r="R121" s="71"/>
      <c r="S121" s="71"/>
    </row>
    <row r="122" spans="1:19" ht="15">
      <c r="A122" s="112">
        <v>2</v>
      </c>
      <c r="B122" s="113">
        <f t="shared" si="40"/>
        <v>32</v>
      </c>
      <c r="C122" s="114">
        <v>-30</v>
      </c>
      <c r="D122" s="105">
        <f t="shared" si="49"/>
        <v>34</v>
      </c>
      <c r="E122" s="115">
        <f t="shared" si="41"/>
        <v>0.063</v>
      </c>
      <c r="F122" s="113">
        <f t="shared" si="42"/>
        <v>2.97</v>
      </c>
      <c r="G122" s="116">
        <f t="shared" si="43"/>
        <v>577.69</v>
      </c>
      <c r="H122" s="117">
        <f t="shared" si="44"/>
        <v>235.984477124183</v>
      </c>
      <c r="I122" s="113">
        <f t="shared" si="45"/>
        <v>136</v>
      </c>
      <c r="J122" s="116">
        <f t="shared" si="46"/>
        <v>844.56</v>
      </c>
      <c r="K122" s="113">
        <f t="shared" si="47"/>
        <v>345</v>
      </c>
      <c r="L122" s="118" t="str">
        <f t="shared" si="48"/>
        <v>Net Section will Fracture</v>
      </c>
      <c r="M122" s="71"/>
      <c r="N122" s="71"/>
      <c r="O122" s="71"/>
      <c r="P122" s="71"/>
      <c r="Q122" s="71"/>
      <c r="R122" s="71"/>
      <c r="S122" s="71"/>
    </row>
    <row r="123" spans="1:19" ht="15">
      <c r="A123" s="112">
        <v>2.5</v>
      </c>
      <c r="B123" s="113">
        <f t="shared" si="40"/>
        <v>32.5</v>
      </c>
      <c r="C123" s="114">
        <v>-30</v>
      </c>
      <c r="D123" s="105">
        <f t="shared" si="49"/>
        <v>34</v>
      </c>
      <c r="E123" s="115">
        <f t="shared" si="41"/>
        <v>0.077</v>
      </c>
      <c r="F123" s="113">
        <f t="shared" si="42"/>
        <v>2.89</v>
      </c>
      <c r="G123" s="116">
        <f t="shared" si="43"/>
        <v>531</v>
      </c>
      <c r="H123" s="117">
        <f t="shared" si="44"/>
        <v>218.5185185185185</v>
      </c>
      <c r="I123" s="113">
        <f t="shared" si="45"/>
        <v>135</v>
      </c>
      <c r="J123" s="116">
        <f t="shared" si="46"/>
        <v>838.35</v>
      </c>
      <c r="K123" s="113">
        <f t="shared" si="47"/>
        <v>345</v>
      </c>
      <c r="L123" s="118" t="str">
        <f t="shared" si="48"/>
        <v>Net Section will Fracture</v>
      </c>
      <c r="M123" s="71"/>
      <c r="N123" s="71"/>
      <c r="O123" s="71"/>
      <c r="P123" s="71"/>
      <c r="Q123" s="71"/>
      <c r="R123" s="71"/>
      <c r="S123" s="71"/>
    </row>
    <row r="124" spans="1:19" ht="15">
      <c r="A124" s="112">
        <v>2.6</v>
      </c>
      <c r="B124" s="113">
        <f t="shared" si="40"/>
        <v>32.6</v>
      </c>
      <c r="C124" s="114">
        <v>-30</v>
      </c>
      <c r="D124" s="105">
        <f t="shared" si="49"/>
        <v>34</v>
      </c>
      <c r="E124" s="115">
        <f t="shared" si="41"/>
        <v>0.08</v>
      </c>
      <c r="F124" s="113">
        <f t="shared" si="42"/>
        <v>2.873</v>
      </c>
      <c r="G124" s="116">
        <f t="shared" si="43"/>
        <v>523.77</v>
      </c>
      <c r="H124" s="117">
        <f t="shared" si="44"/>
        <v>215.8630069238378</v>
      </c>
      <c r="I124" s="113">
        <f t="shared" si="45"/>
        <v>134.8</v>
      </c>
      <c r="J124" s="116">
        <f t="shared" si="46"/>
        <v>837.108</v>
      </c>
      <c r="K124" s="113">
        <f t="shared" si="47"/>
        <v>345</v>
      </c>
      <c r="L124" s="118" t="str">
        <f t="shared" si="48"/>
        <v>Net Section will Fracture</v>
      </c>
      <c r="M124" s="71"/>
      <c r="N124" s="71"/>
      <c r="O124" s="71"/>
      <c r="P124" s="71"/>
      <c r="Q124" s="71"/>
      <c r="R124" s="71"/>
      <c r="S124" s="71"/>
    </row>
    <row r="125" spans="1:19" ht="15">
      <c r="A125" s="112">
        <v>3.5</v>
      </c>
      <c r="B125" s="113">
        <f t="shared" si="40"/>
        <v>33.5</v>
      </c>
      <c r="C125" s="114">
        <v>-30</v>
      </c>
      <c r="D125" s="105">
        <f t="shared" si="49"/>
        <v>34</v>
      </c>
      <c r="E125" s="115">
        <f t="shared" si="41"/>
        <v>0.104</v>
      </c>
      <c r="F125" s="113">
        <f t="shared" si="42"/>
        <v>2.743</v>
      </c>
      <c r="G125" s="116">
        <f t="shared" si="43"/>
        <v>472.83</v>
      </c>
      <c r="H125" s="117">
        <f t="shared" si="44"/>
        <v>197.5062656641604</v>
      </c>
      <c r="I125" s="113">
        <f t="shared" si="45"/>
        <v>133</v>
      </c>
      <c r="J125" s="116">
        <f t="shared" si="46"/>
        <v>825.93</v>
      </c>
      <c r="K125" s="113">
        <f t="shared" si="47"/>
        <v>345</v>
      </c>
      <c r="L125" s="118" t="str">
        <f t="shared" si="48"/>
        <v>Net Section will Fracture</v>
      </c>
      <c r="M125" s="71"/>
      <c r="N125" s="71"/>
      <c r="O125" s="71"/>
      <c r="P125" s="71"/>
      <c r="Q125" s="71"/>
      <c r="R125" s="71"/>
      <c r="S125" s="71"/>
    </row>
    <row r="126" spans="1:19" ht="15">
      <c r="A126" s="112">
        <v>4</v>
      </c>
      <c r="B126" s="113">
        <f t="shared" si="40"/>
        <v>34</v>
      </c>
      <c r="C126" s="114">
        <v>-30</v>
      </c>
      <c r="D126" s="105">
        <f t="shared" si="49"/>
        <v>34</v>
      </c>
      <c r="E126" s="115">
        <f t="shared" si="41"/>
        <v>0.118</v>
      </c>
      <c r="F126" s="113">
        <f t="shared" si="42"/>
        <v>2.67</v>
      </c>
      <c r="G126" s="116">
        <f t="shared" si="43"/>
        <v>454.38</v>
      </c>
      <c r="H126" s="117">
        <f t="shared" si="44"/>
        <v>191.23737373737373</v>
      </c>
      <c r="I126" s="113">
        <f t="shared" si="45"/>
        <v>132</v>
      </c>
      <c r="J126" s="116">
        <f t="shared" si="46"/>
        <v>819.72</v>
      </c>
      <c r="K126" s="113">
        <f t="shared" si="47"/>
        <v>345</v>
      </c>
      <c r="L126" s="118" t="str">
        <f t="shared" si="48"/>
        <v>Net Section will Fracture</v>
      </c>
      <c r="M126" s="71"/>
      <c r="N126" s="71"/>
      <c r="O126" s="71"/>
      <c r="P126" s="71"/>
      <c r="Q126" s="71"/>
      <c r="R126" s="71"/>
      <c r="S126" s="71"/>
    </row>
    <row r="127" spans="1:19" ht="15">
      <c r="A127" s="112">
        <v>5</v>
      </c>
      <c r="B127" s="113">
        <f t="shared" si="40"/>
        <v>35</v>
      </c>
      <c r="C127" s="114">
        <v>-30</v>
      </c>
      <c r="D127" s="105">
        <f t="shared" si="49"/>
        <v>34</v>
      </c>
      <c r="E127" s="115">
        <f t="shared" si="41"/>
        <v>0.143</v>
      </c>
      <c r="F127" s="113">
        <f t="shared" si="42"/>
        <v>2.546</v>
      </c>
      <c r="G127" s="116">
        <f t="shared" si="43"/>
        <v>426.21</v>
      </c>
      <c r="H127" s="117">
        <f t="shared" si="44"/>
        <v>182.14102564102564</v>
      </c>
      <c r="I127" s="113">
        <f t="shared" si="45"/>
        <v>130</v>
      </c>
      <c r="J127" s="116">
        <f t="shared" si="46"/>
        <v>807.3</v>
      </c>
      <c r="K127" s="113">
        <f t="shared" si="47"/>
        <v>345</v>
      </c>
      <c r="L127" s="118" t="str">
        <f t="shared" si="48"/>
        <v>Net Section will Fracture</v>
      </c>
      <c r="M127" s="71"/>
      <c r="N127" s="71"/>
      <c r="O127" s="71"/>
      <c r="P127" s="71"/>
      <c r="Q127" s="71"/>
      <c r="R127" s="71"/>
      <c r="S127" s="71"/>
    </row>
    <row r="128" spans="1:19" ht="15">
      <c r="A128" s="112">
        <v>6</v>
      </c>
      <c r="B128" s="113">
        <f t="shared" si="40"/>
        <v>36</v>
      </c>
      <c r="C128" s="114">
        <v>-30</v>
      </c>
      <c r="D128" s="105">
        <f t="shared" si="49"/>
        <v>34</v>
      </c>
      <c r="E128" s="115">
        <f t="shared" si="41"/>
        <v>0.167</v>
      </c>
      <c r="F128" s="113">
        <f t="shared" si="42"/>
        <v>2.434</v>
      </c>
      <c r="G128" s="116">
        <f t="shared" si="43"/>
        <v>406.98</v>
      </c>
      <c r="H128" s="117">
        <f t="shared" si="44"/>
        <v>176.640625</v>
      </c>
      <c r="I128" s="113">
        <f t="shared" si="45"/>
        <v>128</v>
      </c>
      <c r="J128" s="116">
        <f t="shared" si="46"/>
        <v>794.88</v>
      </c>
      <c r="K128" s="113">
        <f t="shared" si="47"/>
        <v>345</v>
      </c>
      <c r="L128" s="118" t="str">
        <f t="shared" si="48"/>
        <v>Net Section will Fracture</v>
      </c>
      <c r="M128" s="71"/>
      <c r="N128" s="71"/>
      <c r="O128" s="71"/>
      <c r="P128" s="71"/>
      <c r="Q128" s="71"/>
      <c r="R128" s="71"/>
      <c r="S128" s="71"/>
    </row>
    <row r="129" spans="1:19" ht="15">
      <c r="A129" s="112">
        <v>7</v>
      </c>
      <c r="B129" s="113">
        <f t="shared" si="40"/>
        <v>37</v>
      </c>
      <c r="C129" s="114">
        <v>-30</v>
      </c>
      <c r="D129" s="105">
        <f t="shared" si="49"/>
        <v>34</v>
      </c>
      <c r="E129" s="115">
        <f t="shared" si="41"/>
        <v>0.189</v>
      </c>
      <c r="F129" s="113">
        <f t="shared" si="42"/>
        <v>2.337</v>
      </c>
      <c r="G129" s="116">
        <f t="shared" si="43"/>
        <v>392.42</v>
      </c>
      <c r="H129" s="117">
        <f t="shared" si="44"/>
        <v>173.02469135802468</v>
      </c>
      <c r="I129" s="113">
        <f t="shared" si="45"/>
        <v>126</v>
      </c>
      <c r="J129" s="116">
        <f t="shared" si="46"/>
        <v>782.46</v>
      </c>
      <c r="K129" s="113">
        <f t="shared" si="47"/>
        <v>345</v>
      </c>
      <c r="L129" s="118" t="str">
        <f t="shared" si="48"/>
        <v>Net Section will Fracture</v>
      </c>
      <c r="M129" s="71"/>
      <c r="N129" s="71"/>
      <c r="O129" s="71"/>
      <c r="P129" s="71"/>
      <c r="Q129" s="71"/>
      <c r="R129" s="71"/>
      <c r="S129" s="71"/>
    </row>
    <row r="130" spans="1:19" ht="15">
      <c r="A130" s="112">
        <v>8</v>
      </c>
      <c r="B130" s="113">
        <f t="shared" si="40"/>
        <v>38</v>
      </c>
      <c r="C130" s="114">
        <v>-30</v>
      </c>
      <c r="D130" s="105">
        <f t="shared" si="49"/>
        <v>34</v>
      </c>
      <c r="E130" s="115">
        <f t="shared" si="41"/>
        <v>0.211</v>
      </c>
      <c r="F130" s="113">
        <f t="shared" si="42"/>
        <v>2.246</v>
      </c>
      <c r="G130" s="116">
        <f t="shared" si="43"/>
        <v>381.95</v>
      </c>
      <c r="H130" s="117">
        <f t="shared" si="44"/>
        <v>171.12455197132616</v>
      </c>
      <c r="I130" s="113">
        <f t="shared" si="45"/>
        <v>124</v>
      </c>
      <c r="J130" s="116">
        <f t="shared" si="46"/>
        <v>770.04</v>
      </c>
      <c r="K130" s="113">
        <f t="shared" si="47"/>
        <v>345</v>
      </c>
      <c r="L130" s="118" t="str">
        <f t="shared" si="48"/>
        <v>Net Section will Fracture</v>
      </c>
      <c r="M130" s="71"/>
      <c r="N130" s="71"/>
      <c r="O130" s="71"/>
      <c r="P130" s="71"/>
      <c r="Q130" s="71"/>
      <c r="R130" s="71"/>
      <c r="S130" s="71"/>
    </row>
    <row r="131" spans="1:19" ht="15">
      <c r="A131" s="112">
        <v>9</v>
      </c>
      <c r="B131" s="113">
        <f t="shared" si="40"/>
        <v>39</v>
      </c>
      <c r="C131" s="114">
        <v>-30</v>
      </c>
      <c r="D131" s="105">
        <f t="shared" si="49"/>
        <v>34</v>
      </c>
      <c r="E131" s="115">
        <f t="shared" si="41"/>
        <v>0.231</v>
      </c>
      <c r="F131" s="113">
        <f t="shared" si="42"/>
        <v>2.167</v>
      </c>
      <c r="G131" s="116">
        <f t="shared" si="43"/>
        <v>373.24</v>
      </c>
      <c r="H131" s="117">
        <f t="shared" si="44"/>
        <v>169.96357012750457</v>
      </c>
      <c r="I131" s="113">
        <f t="shared" si="45"/>
        <v>122</v>
      </c>
      <c r="J131" s="116">
        <f t="shared" si="46"/>
        <v>757.62</v>
      </c>
      <c r="K131" s="113">
        <f t="shared" si="47"/>
        <v>345</v>
      </c>
      <c r="L131" s="118" t="str">
        <f t="shared" si="48"/>
        <v>Net Section will Fracture</v>
      </c>
      <c r="M131" s="71"/>
      <c r="N131" s="71"/>
      <c r="O131" s="71"/>
      <c r="P131" s="71"/>
      <c r="Q131" s="71"/>
      <c r="R131" s="71"/>
      <c r="S131" s="71"/>
    </row>
    <row r="132" spans="1:19" ht="15">
      <c r="A132" s="119">
        <v>10</v>
      </c>
      <c r="B132" s="120">
        <f t="shared" si="40"/>
        <v>40</v>
      </c>
      <c r="C132" s="121">
        <v>-30</v>
      </c>
      <c r="D132" s="105">
        <f t="shared" si="49"/>
        <v>34</v>
      </c>
      <c r="E132" s="122">
        <f t="shared" si="41"/>
        <v>0.25</v>
      </c>
      <c r="F132" s="120">
        <f t="shared" si="42"/>
        <v>2.096</v>
      </c>
      <c r="G132" s="123">
        <f t="shared" si="43"/>
        <v>366.08</v>
      </c>
      <c r="H132" s="124">
        <f t="shared" si="44"/>
        <v>169.4814814814815</v>
      </c>
      <c r="I132" s="120">
        <f t="shared" si="45"/>
        <v>120</v>
      </c>
      <c r="J132" s="123">
        <f t="shared" si="46"/>
        <v>745.2</v>
      </c>
      <c r="K132" s="120">
        <f t="shared" si="47"/>
        <v>345</v>
      </c>
      <c r="L132" s="125" t="str">
        <f t="shared" si="48"/>
        <v>Net Section will Fracture</v>
      </c>
      <c r="M132" s="71"/>
      <c r="N132" s="71"/>
      <c r="O132" s="71"/>
      <c r="P132" s="71"/>
      <c r="Q132" s="71"/>
      <c r="R132" s="71"/>
      <c r="S132" s="71"/>
    </row>
    <row r="133" spans="1:19" ht="15">
      <c r="A133" s="71"/>
      <c r="B133" s="71"/>
      <c r="C133" s="71"/>
      <c r="D133" s="71"/>
      <c r="E133" s="71"/>
      <c r="F133" s="71"/>
      <c r="G133" s="73"/>
      <c r="H133" s="73"/>
      <c r="I133" s="71"/>
      <c r="J133" s="73"/>
      <c r="K133" s="71"/>
      <c r="L133" s="71"/>
      <c r="M133" s="71"/>
      <c r="N133" s="71"/>
      <c r="O133" s="71"/>
      <c r="P133" s="71"/>
      <c r="Q133" s="71"/>
      <c r="R133" s="71"/>
      <c r="S133" s="71"/>
    </row>
    <row r="134" spans="1:19" ht="15">
      <c r="A134" s="71"/>
      <c r="B134" s="71"/>
      <c r="C134" s="71"/>
      <c r="D134" s="71"/>
      <c r="E134" s="71"/>
      <c r="F134" s="71"/>
      <c r="G134" s="73"/>
      <c r="H134" s="73"/>
      <c r="I134" s="71"/>
      <c r="J134" s="73"/>
      <c r="K134" s="71"/>
      <c r="L134" s="71"/>
      <c r="M134" s="71"/>
      <c r="N134" s="71"/>
      <c r="O134" s="71"/>
      <c r="P134" s="71"/>
      <c r="Q134" s="71"/>
      <c r="R134" s="71"/>
      <c r="S134" s="71"/>
    </row>
    <row r="135" spans="1:19" ht="15">
      <c r="A135" s="71"/>
      <c r="B135" s="71"/>
      <c r="C135" s="71"/>
      <c r="D135" s="71"/>
      <c r="E135" s="71"/>
      <c r="F135" s="71"/>
      <c r="G135" s="73"/>
      <c r="H135" s="73"/>
      <c r="I135" s="71"/>
      <c r="J135" s="73"/>
      <c r="K135" s="71"/>
      <c r="L135" s="71"/>
      <c r="M135" s="71"/>
      <c r="N135" s="71"/>
      <c r="O135" s="71"/>
      <c r="P135" s="71"/>
      <c r="Q135" s="71"/>
      <c r="R135" s="71"/>
      <c r="S135" s="71"/>
    </row>
    <row r="136" spans="1:19" ht="26.25">
      <c r="A136" s="93" t="s">
        <v>60</v>
      </c>
      <c r="B136" s="93"/>
      <c r="C136" s="93"/>
      <c r="D136" s="94"/>
      <c r="E136" s="93"/>
      <c r="F136" s="93"/>
      <c r="G136" s="129" t="s">
        <v>40</v>
      </c>
      <c r="H136" s="130"/>
      <c r="I136" s="93"/>
      <c r="J136" s="95" t="s">
        <v>41</v>
      </c>
      <c r="K136" s="93"/>
      <c r="L136" s="93"/>
      <c r="M136" s="71"/>
      <c r="N136" s="71"/>
      <c r="O136" s="71"/>
      <c r="P136" s="71"/>
      <c r="Q136" s="71"/>
      <c r="R136" s="71"/>
      <c r="S136" s="71"/>
    </row>
    <row r="137" spans="1:19" ht="53.25" customHeight="1">
      <c r="A137" s="96" t="s">
        <v>38</v>
      </c>
      <c r="B137" s="97" t="s">
        <v>65</v>
      </c>
      <c r="C137" s="96" t="s">
        <v>37</v>
      </c>
      <c r="D137" s="98" t="s">
        <v>66</v>
      </c>
      <c r="E137" s="99" t="s">
        <v>67</v>
      </c>
      <c r="F137" s="99" t="s">
        <v>53</v>
      </c>
      <c r="G137" s="100" t="s">
        <v>62</v>
      </c>
      <c r="H137" s="101" t="s">
        <v>50</v>
      </c>
      <c r="I137" s="96" t="s">
        <v>42</v>
      </c>
      <c r="J137" s="100" t="s">
        <v>63</v>
      </c>
      <c r="K137" s="102" t="s">
        <v>51</v>
      </c>
      <c r="L137" s="103"/>
      <c r="M137" s="71"/>
      <c r="N137" s="71"/>
      <c r="O137" s="71"/>
      <c r="P137" s="71"/>
      <c r="Q137" s="71"/>
      <c r="R137" s="71"/>
      <c r="S137" s="71"/>
    </row>
    <row r="138" spans="1:19" ht="15">
      <c r="A138" s="104">
        <v>1</v>
      </c>
      <c r="B138" s="105">
        <f aca="true" t="shared" si="50" ref="B138:B150">($F$7/2+$A138)</f>
        <v>31</v>
      </c>
      <c r="C138" s="106">
        <v>-45</v>
      </c>
      <c r="D138" s="105">
        <f>40+0.2*C138</f>
        <v>31</v>
      </c>
      <c r="E138" s="107">
        <f aca="true" t="shared" si="51" ref="E138:E150">ROUND($A138/($F$7/2+$A138),3)</f>
        <v>0.032</v>
      </c>
      <c r="F138" s="105">
        <f aca="true" t="shared" si="52" ref="F138:F150">ROUND(0.5*(3-E138)*(1+1.243*(1-E138)^3),3)</f>
        <v>3.157</v>
      </c>
      <c r="G138" s="108">
        <f aca="true" t="shared" si="53" ref="G138:G150">ROUND($D138/($F138*$G$37*SQRT(PI()*$A138/1000))/1000,2)</f>
        <v>700.76</v>
      </c>
      <c r="H138" s="109">
        <f aca="true" t="shared" si="54" ref="H138:H150">G138*1000/(I138*$F$4*0.9)</f>
        <v>282.109500805153</v>
      </c>
      <c r="I138" s="105">
        <f aca="true" t="shared" si="55" ref="I138:I150">$F$5-$F$7-2*$A138</f>
        <v>138</v>
      </c>
      <c r="J138" s="108">
        <f aca="true" t="shared" si="56" ref="J138:J150">0.9*$E$24*$I138*$F$4/1000</f>
        <v>856.98</v>
      </c>
      <c r="K138" s="105">
        <f aca="true" t="shared" si="57" ref="K138:K150">J138*1000/(0.9*$I138*$F$4)</f>
        <v>345</v>
      </c>
      <c r="L138" s="110" t="str">
        <f aca="true" t="shared" si="58" ref="L138:L150">IF($H138&gt;$K138,"Net Section will Yeild before Fracture","Net Section will Fracture")</f>
        <v>Net Section will Fracture</v>
      </c>
      <c r="M138" s="71"/>
      <c r="N138" s="71"/>
      <c r="O138" s="71"/>
      <c r="P138" s="71"/>
      <c r="Q138" s="71"/>
      <c r="R138" s="71"/>
      <c r="S138" s="71"/>
    </row>
    <row r="139" spans="1:19" ht="15">
      <c r="A139" s="112">
        <v>1.5</v>
      </c>
      <c r="B139" s="113">
        <f t="shared" si="50"/>
        <v>31.5</v>
      </c>
      <c r="C139" s="114">
        <v>-45</v>
      </c>
      <c r="D139" s="105">
        <f aca="true" t="shared" si="59" ref="D139:D150">40+0.2*C139</f>
        <v>31</v>
      </c>
      <c r="E139" s="115">
        <f t="shared" si="51"/>
        <v>0.048</v>
      </c>
      <c r="F139" s="113">
        <f t="shared" si="52"/>
        <v>3.059</v>
      </c>
      <c r="G139" s="116">
        <f t="shared" si="53"/>
        <v>590.5</v>
      </c>
      <c r="H139" s="117">
        <f t="shared" si="54"/>
        <v>239.4566098945661</v>
      </c>
      <c r="I139" s="113">
        <f t="shared" si="55"/>
        <v>137</v>
      </c>
      <c r="J139" s="116">
        <f t="shared" si="56"/>
        <v>850.77</v>
      </c>
      <c r="K139" s="113">
        <f t="shared" si="57"/>
        <v>345</v>
      </c>
      <c r="L139" s="118" t="str">
        <f t="shared" si="58"/>
        <v>Net Section will Fracture</v>
      </c>
      <c r="M139" s="71"/>
      <c r="N139" s="71"/>
      <c r="O139" s="71"/>
      <c r="P139" s="71"/>
      <c r="Q139" s="71"/>
      <c r="R139" s="71"/>
      <c r="S139" s="71"/>
    </row>
    <row r="140" spans="1:19" ht="15">
      <c r="A140" s="112">
        <v>2</v>
      </c>
      <c r="B140" s="113">
        <f t="shared" si="50"/>
        <v>32</v>
      </c>
      <c r="C140" s="114">
        <v>-45</v>
      </c>
      <c r="D140" s="105">
        <f t="shared" si="59"/>
        <v>31</v>
      </c>
      <c r="E140" s="115">
        <f t="shared" si="51"/>
        <v>0.063</v>
      </c>
      <c r="F140" s="113">
        <f t="shared" si="52"/>
        <v>2.97</v>
      </c>
      <c r="G140" s="116">
        <f t="shared" si="53"/>
        <v>526.71</v>
      </c>
      <c r="H140" s="117">
        <f t="shared" si="54"/>
        <v>215.1593137254902</v>
      </c>
      <c r="I140" s="113">
        <f t="shared" si="55"/>
        <v>136</v>
      </c>
      <c r="J140" s="116">
        <f t="shared" si="56"/>
        <v>844.56</v>
      </c>
      <c r="K140" s="113">
        <f t="shared" si="57"/>
        <v>345</v>
      </c>
      <c r="L140" s="118" t="str">
        <f t="shared" si="58"/>
        <v>Net Section will Fracture</v>
      </c>
      <c r="M140" s="71"/>
      <c r="N140" s="71"/>
      <c r="O140" s="71"/>
      <c r="P140" s="71"/>
      <c r="Q140" s="71"/>
      <c r="R140" s="71"/>
      <c r="S140" s="71"/>
    </row>
    <row r="141" spans="1:19" ht="15">
      <c r="A141" s="112">
        <v>2.15</v>
      </c>
      <c r="B141" s="113">
        <f t="shared" si="50"/>
        <v>32.15</v>
      </c>
      <c r="C141" s="114">
        <v>-45</v>
      </c>
      <c r="D141" s="105">
        <f t="shared" si="59"/>
        <v>31</v>
      </c>
      <c r="E141" s="115">
        <f t="shared" si="51"/>
        <v>0.067</v>
      </c>
      <c r="F141" s="113">
        <f t="shared" si="52"/>
        <v>2.947</v>
      </c>
      <c r="G141" s="116">
        <f t="shared" si="53"/>
        <v>511.97</v>
      </c>
      <c r="H141" s="117">
        <f t="shared" si="54"/>
        <v>209.60042577581265</v>
      </c>
      <c r="I141" s="113">
        <f t="shared" si="55"/>
        <v>135.7</v>
      </c>
      <c r="J141" s="116">
        <f t="shared" si="56"/>
        <v>842.697</v>
      </c>
      <c r="K141" s="113">
        <f t="shared" si="57"/>
        <v>345</v>
      </c>
      <c r="L141" s="118" t="str">
        <f t="shared" si="58"/>
        <v>Net Section will Fracture</v>
      </c>
      <c r="M141" s="71"/>
      <c r="N141" s="71"/>
      <c r="O141" s="71"/>
      <c r="P141" s="71"/>
      <c r="Q141" s="71"/>
      <c r="R141" s="71"/>
      <c r="S141" s="71"/>
    </row>
    <row r="142" spans="1:19" ht="15">
      <c r="A142" s="112">
        <v>3</v>
      </c>
      <c r="B142" s="113">
        <f t="shared" si="50"/>
        <v>33</v>
      </c>
      <c r="C142" s="114">
        <v>-45</v>
      </c>
      <c r="D142" s="105">
        <f t="shared" si="59"/>
        <v>31</v>
      </c>
      <c r="E142" s="115">
        <f t="shared" si="51"/>
        <v>0.091</v>
      </c>
      <c r="F142" s="113">
        <f t="shared" si="52"/>
        <v>2.812</v>
      </c>
      <c r="G142" s="116">
        <f t="shared" si="53"/>
        <v>454.22</v>
      </c>
      <c r="H142" s="117">
        <f t="shared" si="54"/>
        <v>188.3167495854063</v>
      </c>
      <c r="I142" s="113">
        <f t="shared" si="55"/>
        <v>134</v>
      </c>
      <c r="J142" s="116">
        <f t="shared" si="56"/>
        <v>832.14</v>
      </c>
      <c r="K142" s="113">
        <f t="shared" si="57"/>
        <v>345</v>
      </c>
      <c r="L142" s="118" t="str">
        <f t="shared" si="58"/>
        <v>Net Section will Fracture</v>
      </c>
      <c r="M142" s="71"/>
      <c r="N142" s="71"/>
      <c r="O142" s="71"/>
      <c r="P142" s="71"/>
      <c r="Q142" s="71"/>
      <c r="R142" s="71"/>
      <c r="S142" s="71"/>
    </row>
    <row r="143" spans="1:19" ht="15">
      <c r="A143" s="112">
        <v>3.5</v>
      </c>
      <c r="B143" s="113">
        <f t="shared" si="50"/>
        <v>33.5</v>
      </c>
      <c r="C143" s="114">
        <v>-45</v>
      </c>
      <c r="D143" s="105">
        <f t="shared" si="59"/>
        <v>31</v>
      </c>
      <c r="E143" s="115">
        <f t="shared" si="51"/>
        <v>0.104</v>
      </c>
      <c r="F143" s="113">
        <f t="shared" si="52"/>
        <v>2.743</v>
      </c>
      <c r="G143" s="116">
        <f t="shared" si="53"/>
        <v>431.11</v>
      </c>
      <c r="H143" s="117">
        <f t="shared" si="54"/>
        <v>180.0793650793651</v>
      </c>
      <c r="I143" s="113">
        <f t="shared" si="55"/>
        <v>133</v>
      </c>
      <c r="J143" s="116">
        <f t="shared" si="56"/>
        <v>825.93</v>
      </c>
      <c r="K143" s="113">
        <f t="shared" si="57"/>
        <v>345</v>
      </c>
      <c r="L143" s="118" t="str">
        <f t="shared" si="58"/>
        <v>Net Section will Fracture</v>
      </c>
      <c r="M143" s="71"/>
      <c r="N143" s="71"/>
      <c r="O143" s="71"/>
      <c r="P143" s="71"/>
      <c r="Q143" s="71"/>
      <c r="R143" s="71"/>
      <c r="S143" s="71"/>
    </row>
    <row r="144" spans="1:19" ht="15">
      <c r="A144" s="112">
        <v>4</v>
      </c>
      <c r="B144" s="113">
        <f t="shared" si="50"/>
        <v>34</v>
      </c>
      <c r="C144" s="114">
        <v>-45</v>
      </c>
      <c r="D144" s="105">
        <f t="shared" si="59"/>
        <v>31</v>
      </c>
      <c r="E144" s="115">
        <f t="shared" si="51"/>
        <v>0.118</v>
      </c>
      <c r="F144" s="113">
        <f t="shared" si="52"/>
        <v>2.67</v>
      </c>
      <c r="G144" s="116">
        <f t="shared" si="53"/>
        <v>414.29</v>
      </c>
      <c r="H144" s="117">
        <f t="shared" si="54"/>
        <v>174.36447811447812</v>
      </c>
      <c r="I144" s="113">
        <f t="shared" si="55"/>
        <v>132</v>
      </c>
      <c r="J144" s="116">
        <f t="shared" si="56"/>
        <v>819.72</v>
      </c>
      <c r="K144" s="113">
        <f t="shared" si="57"/>
        <v>345</v>
      </c>
      <c r="L144" s="118" t="str">
        <f t="shared" si="58"/>
        <v>Net Section will Fracture</v>
      </c>
      <c r="M144" s="71"/>
      <c r="N144" s="71"/>
      <c r="O144" s="71"/>
      <c r="P144" s="71"/>
      <c r="Q144" s="71"/>
      <c r="R144" s="71"/>
      <c r="S144" s="71"/>
    </row>
    <row r="145" spans="1:19" ht="15">
      <c r="A145" s="112">
        <v>5</v>
      </c>
      <c r="B145" s="113">
        <f t="shared" si="50"/>
        <v>35</v>
      </c>
      <c r="C145" s="114">
        <v>-45</v>
      </c>
      <c r="D145" s="105">
        <f t="shared" si="59"/>
        <v>31</v>
      </c>
      <c r="E145" s="115">
        <f t="shared" si="51"/>
        <v>0.143</v>
      </c>
      <c r="F145" s="113">
        <f t="shared" si="52"/>
        <v>2.546</v>
      </c>
      <c r="G145" s="116">
        <f t="shared" si="53"/>
        <v>388.6</v>
      </c>
      <c r="H145" s="117">
        <f t="shared" si="54"/>
        <v>166.06837606837607</v>
      </c>
      <c r="I145" s="113">
        <f t="shared" si="55"/>
        <v>130</v>
      </c>
      <c r="J145" s="116">
        <f t="shared" si="56"/>
        <v>807.3</v>
      </c>
      <c r="K145" s="113">
        <f t="shared" si="57"/>
        <v>345</v>
      </c>
      <c r="L145" s="118" t="str">
        <f t="shared" si="58"/>
        <v>Net Section will Fracture</v>
      </c>
      <c r="M145" s="71"/>
      <c r="N145" s="71"/>
      <c r="O145" s="71"/>
      <c r="P145" s="71"/>
      <c r="Q145" s="71"/>
      <c r="R145" s="71"/>
      <c r="S145" s="71"/>
    </row>
    <row r="146" spans="1:19" ht="15">
      <c r="A146" s="112">
        <v>6</v>
      </c>
      <c r="B146" s="113">
        <f t="shared" si="50"/>
        <v>36</v>
      </c>
      <c r="C146" s="114">
        <v>-45</v>
      </c>
      <c r="D146" s="105">
        <f t="shared" si="59"/>
        <v>31</v>
      </c>
      <c r="E146" s="115">
        <f t="shared" si="51"/>
        <v>0.167</v>
      </c>
      <c r="F146" s="113">
        <f t="shared" si="52"/>
        <v>2.434</v>
      </c>
      <c r="G146" s="116">
        <f t="shared" si="53"/>
        <v>371.07</v>
      </c>
      <c r="H146" s="117">
        <f t="shared" si="54"/>
        <v>161.0546875</v>
      </c>
      <c r="I146" s="113">
        <f t="shared" si="55"/>
        <v>128</v>
      </c>
      <c r="J146" s="116">
        <f t="shared" si="56"/>
        <v>794.88</v>
      </c>
      <c r="K146" s="113">
        <f t="shared" si="57"/>
        <v>345</v>
      </c>
      <c r="L146" s="118" t="str">
        <f t="shared" si="58"/>
        <v>Net Section will Fracture</v>
      </c>
      <c r="M146" s="71"/>
      <c r="N146" s="71"/>
      <c r="O146" s="71"/>
      <c r="P146" s="71"/>
      <c r="Q146" s="71"/>
      <c r="R146" s="71"/>
      <c r="S146" s="71"/>
    </row>
    <row r="147" spans="1:19" ht="15">
      <c r="A147" s="112">
        <v>7</v>
      </c>
      <c r="B147" s="113">
        <f t="shared" si="50"/>
        <v>37</v>
      </c>
      <c r="C147" s="114">
        <v>-45</v>
      </c>
      <c r="D147" s="105">
        <f t="shared" si="59"/>
        <v>31</v>
      </c>
      <c r="E147" s="115">
        <f t="shared" si="51"/>
        <v>0.189</v>
      </c>
      <c r="F147" s="113">
        <f t="shared" si="52"/>
        <v>2.337</v>
      </c>
      <c r="G147" s="116">
        <f t="shared" si="53"/>
        <v>357.8</v>
      </c>
      <c r="H147" s="117">
        <f t="shared" si="54"/>
        <v>157.76014109347443</v>
      </c>
      <c r="I147" s="113">
        <f t="shared" si="55"/>
        <v>126</v>
      </c>
      <c r="J147" s="116">
        <f t="shared" si="56"/>
        <v>782.46</v>
      </c>
      <c r="K147" s="113">
        <f t="shared" si="57"/>
        <v>345</v>
      </c>
      <c r="L147" s="118" t="str">
        <f t="shared" si="58"/>
        <v>Net Section will Fracture</v>
      </c>
      <c r="M147" s="71"/>
      <c r="N147" s="71"/>
      <c r="O147" s="71"/>
      <c r="P147" s="71"/>
      <c r="Q147" s="71"/>
      <c r="R147" s="71"/>
      <c r="S147" s="71"/>
    </row>
    <row r="148" spans="1:19" ht="15">
      <c r="A148" s="112">
        <v>8</v>
      </c>
      <c r="B148" s="113">
        <f t="shared" si="50"/>
        <v>38</v>
      </c>
      <c r="C148" s="114">
        <v>-45</v>
      </c>
      <c r="D148" s="105">
        <f t="shared" si="59"/>
        <v>31</v>
      </c>
      <c r="E148" s="115">
        <f t="shared" si="51"/>
        <v>0.211</v>
      </c>
      <c r="F148" s="113">
        <f t="shared" si="52"/>
        <v>2.246</v>
      </c>
      <c r="G148" s="116">
        <f t="shared" si="53"/>
        <v>348.25</v>
      </c>
      <c r="H148" s="117">
        <f t="shared" si="54"/>
        <v>156.02598566308242</v>
      </c>
      <c r="I148" s="113">
        <f t="shared" si="55"/>
        <v>124</v>
      </c>
      <c r="J148" s="116">
        <f t="shared" si="56"/>
        <v>770.04</v>
      </c>
      <c r="K148" s="113">
        <f t="shared" si="57"/>
        <v>345</v>
      </c>
      <c r="L148" s="118" t="str">
        <f t="shared" si="58"/>
        <v>Net Section will Fracture</v>
      </c>
      <c r="M148" s="71"/>
      <c r="N148" s="71"/>
      <c r="O148" s="71"/>
      <c r="P148" s="71"/>
      <c r="Q148" s="71"/>
      <c r="R148" s="71"/>
      <c r="S148" s="71"/>
    </row>
    <row r="149" spans="1:19" ht="15">
      <c r="A149" s="112">
        <v>9</v>
      </c>
      <c r="B149" s="113">
        <f t="shared" si="50"/>
        <v>39</v>
      </c>
      <c r="C149" s="114">
        <v>-45</v>
      </c>
      <c r="D149" s="105">
        <f t="shared" si="59"/>
        <v>31</v>
      </c>
      <c r="E149" s="115">
        <f t="shared" si="51"/>
        <v>0.231</v>
      </c>
      <c r="F149" s="113">
        <f t="shared" si="52"/>
        <v>2.167</v>
      </c>
      <c r="G149" s="116">
        <f t="shared" si="53"/>
        <v>340.3</v>
      </c>
      <c r="H149" s="117">
        <f t="shared" si="54"/>
        <v>154.96357012750457</v>
      </c>
      <c r="I149" s="113">
        <f t="shared" si="55"/>
        <v>122</v>
      </c>
      <c r="J149" s="116">
        <f t="shared" si="56"/>
        <v>757.62</v>
      </c>
      <c r="K149" s="113">
        <f t="shared" si="57"/>
        <v>345</v>
      </c>
      <c r="L149" s="118" t="str">
        <f t="shared" si="58"/>
        <v>Net Section will Fracture</v>
      </c>
      <c r="M149" s="71"/>
      <c r="N149" s="71"/>
      <c r="O149" s="71"/>
      <c r="P149" s="71"/>
      <c r="Q149" s="71"/>
      <c r="R149" s="71"/>
      <c r="S149" s="71"/>
    </row>
    <row r="150" spans="1:19" ht="15">
      <c r="A150" s="119">
        <v>10</v>
      </c>
      <c r="B150" s="120">
        <f t="shared" si="50"/>
        <v>40</v>
      </c>
      <c r="C150" s="121">
        <v>-45</v>
      </c>
      <c r="D150" s="105">
        <f t="shared" si="59"/>
        <v>31</v>
      </c>
      <c r="E150" s="122">
        <f t="shared" si="51"/>
        <v>0.25</v>
      </c>
      <c r="F150" s="120">
        <f t="shared" si="52"/>
        <v>2.096</v>
      </c>
      <c r="G150" s="123">
        <f t="shared" si="53"/>
        <v>333.78</v>
      </c>
      <c r="H150" s="124">
        <f t="shared" si="54"/>
        <v>154.52777777777777</v>
      </c>
      <c r="I150" s="120">
        <f t="shared" si="55"/>
        <v>120</v>
      </c>
      <c r="J150" s="123">
        <f t="shared" si="56"/>
        <v>745.2</v>
      </c>
      <c r="K150" s="120">
        <f t="shared" si="57"/>
        <v>345</v>
      </c>
      <c r="L150" s="125" t="str">
        <f t="shared" si="58"/>
        <v>Net Section will Fracture</v>
      </c>
      <c r="M150" s="71"/>
      <c r="N150" s="71"/>
      <c r="O150" s="71"/>
      <c r="P150" s="71"/>
      <c r="Q150" s="71"/>
      <c r="R150" s="71"/>
      <c r="S150" s="71"/>
    </row>
    <row r="151" spans="1:19" ht="15">
      <c r="A151" s="71"/>
      <c r="B151" s="71"/>
      <c r="C151" s="71"/>
      <c r="D151" s="71"/>
      <c r="E151" s="71"/>
      <c r="F151" s="71"/>
      <c r="G151" s="73"/>
      <c r="H151" s="73"/>
      <c r="I151" s="71"/>
      <c r="J151" s="73"/>
      <c r="K151" s="71"/>
      <c r="L151" s="71"/>
      <c r="M151" s="71"/>
      <c r="N151" s="71"/>
      <c r="O151" s="71"/>
      <c r="P151" s="71"/>
      <c r="Q151" s="71"/>
      <c r="R151" s="71"/>
      <c r="S151" s="71"/>
    </row>
    <row r="152" spans="1:19" ht="15">
      <c r="A152" s="71"/>
      <c r="B152" s="71"/>
      <c r="C152" s="71"/>
      <c r="D152" s="71"/>
      <c r="E152" s="71"/>
      <c r="F152" s="71"/>
      <c r="G152" s="73"/>
      <c r="H152" s="73"/>
      <c r="I152" s="71"/>
      <c r="J152" s="73"/>
      <c r="K152" s="71"/>
      <c r="L152" s="71"/>
      <c r="M152" s="71"/>
      <c r="N152" s="71"/>
      <c r="O152" s="71"/>
      <c r="P152" s="71"/>
      <c r="Q152" s="71"/>
      <c r="R152" s="71"/>
      <c r="S152" s="71"/>
    </row>
    <row r="153" spans="1:19" ht="15">
      <c r="A153" s="71"/>
      <c r="B153" s="71"/>
      <c r="C153" s="71"/>
      <c r="D153" s="71"/>
      <c r="E153" s="71"/>
      <c r="F153" s="71"/>
      <c r="G153" s="73"/>
      <c r="H153" s="73"/>
      <c r="I153" s="71"/>
      <c r="J153" s="73"/>
      <c r="K153" s="71"/>
      <c r="L153" s="71"/>
      <c r="M153" s="71"/>
      <c r="N153" s="71"/>
      <c r="O153" s="71"/>
      <c r="P153" s="71"/>
      <c r="Q153" s="71"/>
      <c r="R153" s="71"/>
      <c r="S153" s="71"/>
    </row>
  </sheetData>
  <sheetProtection/>
  <mergeCells count="6">
    <mergeCell ref="G64:H64"/>
    <mergeCell ref="G46:H46"/>
    <mergeCell ref="G136:H136"/>
    <mergeCell ref="G118:H118"/>
    <mergeCell ref="G100:H100"/>
    <mergeCell ref="G82:H82"/>
  </mergeCells>
  <conditionalFormatting sqref="A48:A60">
    <cfRule type="expression" priority="1" dxfId="60" stopIfTrue="1">
      <formula>$H48&lt;$K48</formula>
    </cfRule>
  </conditionalFormatting>
  <conditionalFormatting sqref="G48">
    <cfRule type="expression" priority="2" dxfId="60" stopIfTrue="1">
      <formula>$H48&lt;$K48</formula>
    </cfRule>
  </conditionalFormatting>
  <conditionalFormatting sqref="G49:G60">
    <cfRule type="expression" priority="3" dxfId="0" stopIfTrue="1">
      <formula>$H49&lt;$K49</formula>
    </cfRule>
  </conditionalFormatting>
  <conditionalFormatting sqref="G49:G60">
    <cfRule type="expression" priority="4" dxfId="60" stopIfTrue="1">
      <formula>$H49&lt;$K49</formula>
    </cfRule>
  </conditionalFormatting>
  <conditionalFormatting sqref="G49:G60">
    <cfRule type="expression" priority="5" dxfId="60" stopIfTrue="1">
      <formula>$H49&lt;$K49</formula>
    </cfRule>
  </conditionalFormatting>
  <conditionalFormatting sqref="A66:A78">
    <cfRule type="expression" priority="6" dxfId="60" stopIfTrue="1">
      <formula>$H66&lt;$K66</formula>
    </cfRule>
  </conditionalFormatting>
  <conditionalFormatting sqref="G66">
    <cfRule type="expression" priority="7" dxfId="60" stopIfTrue="1">
      <formula>$H66&lt;$K66</formula>
    </cfRule>
  </conditionalFormatting>
  <conditionalFormatting sqref="G67:G78">
    <cfRule type="expression" priority="8" dxfId="0" stopIfTrue="1">
      <formula>$H67&lt;$K67</formula>
    </cfRule>
  </conditionalFormatting>
  <conditionalFormatting sqref="G67:G78">
    <cfRule type="expression" priority="9" dxfId="60" stopIfTrue="1">
      <formula>$H67&lt;$K67</formula>
    </cfRule>
  </conditionalFormatting>
  <conditionalFormatting sqref="G67:G78">
    <cfRule type="expression" priority="10" dxfId="60" stopIfTrue="1">
      <formula>$H67&lt;$K67</formula>
    </cfRule>
  </conditionalFormatting>
  <conditionalFormatting sqref="A84:A96">
    <cfRule type="expression" priority="11" dxfId="60" stopIfTrue="1">
      <formula>$H84&lt;$K84</formula>
    </cfRule>
  </conditionalFormatting>
  <conditionalFormatting sqref="G84">
    <cfRule type="expression" priority="12" dxfId="60" stopIfTrue="1">
      <formula>$H84&lt;$K84</formula>
    </cfRule>
  </conditionalFormatting>
  <conditionalFormatting sqref="G85:G96">
    <cfRule type="expression" priority="13" dxfId="0" stopIfTrue="1">
      <formula>$H85&lt;$K85</formula>
    </cfRule>
  </conditionalFormatting>
  <conditionalFormatting sqref="G85:G96">
    <cfRule type="expression" priority="14" dxfId="60" stopIfTrue="1">
      <formula>$H85&lt;$K85</formula>
    </cfRule>
  </conditionalFormatting>
  <conditionalFormatting sqref="G85:G96">
    <cfRule type="expression" priority="15" dxfId="60" stopIfTrue="1">
      <formula>$H85&lt;$K85</formula>
    </cfRule>
  </conditionalFormatting>
  <conditionalFormatting sqref="A102:A114">
    <cfRule type="expression" priority="16" dxfId="60" stopIfTrue="1">
      <formula>$H102&lt;$K102</formula>
    </cfRule>
  </conditionalFormatting>
  <conditionalFormatting sqref="G102">
    <cfRule type="expression" priority="17" dxfId="60" stopIfTrue="1">
      <formula>$H102&lt;$K102</formula>
    </cfRule>
  </conditionalFormatting>
  <conditionalFormatting sqref="G103:G114">
    <cfRule type="expression" priority="18" dxfId="0" stopIfTrue="1">
      <formula>$H103&lt;$K103</formula>
    </cfRule>
  </conditionalFormatting>
  <conditionalFormatting sqref="G103:G114">
    <cfRule type="expression" priority="19" dxfId="60" stopIfTrue="1">
      <formula>$H103&lt;$K103</formula>
    </cfRule>
  </conditionalFormatting>
  <conditionalFormatting sqref="G103:G114">
    <cfRule type="expression" priority="20" dxfId="60" stopIfTrue="1">
      <formula>$H103&lt;$K103</formula>
    </cfRule>
  </conditionalFormatting>
  <conditionalFormatting sqref="A120:A132">
    <cfRule type="expression" priority="21" dxfId="60" stopIfTrue="1">
      <formula>$H120&lt;$K120</formula>
    </cfRule>
  </conditionalFormatting>
  <conditionalFormatting sqref="G120">
    <cfRule type="expression" priority="22" dxfId="60" stopIfTrue="1">
      <formula>$H120&lt;$K120</formula>
    </cfRule>
  </conditionalFormatting>
  <conditionalFormatting sqref="G121:G132">
    <cfRule type="expression" priority="23" dxfId="0" stopIfTrue="1">
      <formula>$H121&lt;$K121</formula>
    </cfRule>
  </conditionalFormatting>
  <conditionalFormatting sqref="G121:G132">
    <cfRule type="expression" priority="24" dxfId="60" stopIfTrue="1">
      <formula>$H121&lt;$K121</formula>
    </cfRule>
  </conditionalFormatting>
  <conditionalFormatting sqref="G121:G132">
    <cfRule type="expression" priority="25" dxfId="60" stopIfTrue="1">
      <formula>$H121&lt;$K121</formula>
    </cfRule>
  </conditionalFormatting>
  <conditionalFormatting sqref="A138:A150">
    <cfRule type="expression" priority="26" dxfId="60" stopIfTrue="1">
      <formula>$H138&lt;$K138</formula>
    </cfRule>
  </conditionalFormatting>
  <conditionalFormatting sqref="G138">
    <cfRule type="expression" priority="27" dxfId="60" stopIfTrue="1">
      <formula>$H138&lt;$K138</formula>
    </cfRule>
  </conditionalFormatting>
  <conditionalFormatting sqref="G139:G150">
    <cfRule type="expression" priority="28" dxfId="0" stopIfTrue="1">
      <formula>$H139&lt;$K139</formula>
    </cfRule>
  </conditionalFormatting>
  <conditionalFormatting sqref="G139:G150">
    <cfRule type="expression" priority="29" dxfId="60" stopIfTrue="1">
      <formula>$H139&lt;$K139</formula>
    </cfRule>
  </conditionalFormatting>
  <conditionalFormatting sqref="G139:G150">
    <cfRule type="expression" priority="30" dxfId="60" stopIfTrue="1">
      <formula>$H139&lt;$K139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masoud Palani</dc:creator>
  <cp:keywords/>
  <dc:description/>
  <cp:lastModifiedBy>DW00103</cp:lastModifiedBy>
  <dcterms:created xsi:type="dcterms:W3CDTF">2011-05-01T20:18:14Z</dcterms:created>
  <dcterms:modified xsi:type="dcterms:W3CDTF">2011-06-21T16:10:35Z</dcterms:modified>
  <cp:category/>
  <cp:version/>
  <cp:contentType/>
  <cp:contentStatus/>
</cp:coreProperties>
</file>